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EDITDEPT\PUBS\CI\14ci\07 July\Spreadsheet Corner\"/>
    </mc:Choice>
  </mc:AlternateContent>
  <bookViews>
    <workbookView xWindow="0" yWindow="0" windowWidth="28800" windowHeight="12585"/>
  </bookViews>
  <sheets>
    <sheet name="Ratio Analysis" sheetId="1" r:id="rId1"/>
    <sheet name="Financials" sheetId="6" r:id="rId2"/>
    <sheet name="Charts" sheetId="8" r:id="rId3"/>
    <sheet name="Income Statement" sheetId="2" r:id="rId4"/>
    <sheet name="Balance Sheet" sheetId="3" r:id="rId5"/>
    <sheet name="Cash Flow Statement" sheetId="4" r:id="rId6"/>
  </sheets>
  <calcPr calcId="152511"/>
</workbook>
</file>

<file path=xl/calcChain.xml><?xml version="1.0" encoding="utf-8"?>
<calcChain xmlns="http://schemas.openxmlformats.org/spreadsheetml/2006/main">
  <c r="B25" i="6" l="1"/>
  <c r="G31" i="1" l="1"/>
  <c r="F31" i="1"/>
  <c r="E31" i="1"/>
  <c r="D31" i="1"/>
  <c r="C31" i="1"/>
  <c r="G30" i="1"/>
  <c r="F30" i="1"/>
  <c r="E30" i="1"/>
  <c r="D30" i="1"/>
  <c r="C30" i="1"/>
  <c r="G29" i="1"/>
  <c r="F29" i="1"/>
  <c r="E29" i="1"/>
  <c r="H29" i="1" s="1"/>
  <c r="D29" i="1"/>
  <c r="C29" i="1"/>
  <c r="G28" i="1"/>
  <c r="F28" i="1"/>
  <c r="E28" i="1"/>
  <c r="D28" i="1"/>
  <c r="C28" i="1"/>
  <c r="G27" i="1"/>
  <c r="F27" i="1"/>
  <c r="E27" i="1"/>
  <c r="D27" i="1"/>
  <c r="C27" i="1"/>
  <c r="G25" i="1"/>
  <c r="F25" i="1"/>
  <c r="E25" i="1"/>
  <c r="D25" i="1"/>
  <c r="C25" i="1"/>
  <c r="G24" i="1"/>
  <c r="F24" i="1"/>
  <c r="E24" i="1"/>
  <c r="H24" i="1" s="1"/>
  <c r="D24" i="1"/>
  <c r="C24" i="1"/>
  <c r="G22" i="1"/>
  <c r="F22" i="1"/>
  <c r="E22" i="1"/>
  <c r="D22" i="1"/>
  <c r="C22" i="1"/>
  <c r="G21" i="1"/>
  <c r="F21" i="1"/>
  <c r="E21" i="1"/>
  <c r="H21" i="1" s="1"/>
  <c r="D21" i="1"/>
  <c r="C21" i="1"/>
  <c r="G20" i="1"/>
  <c r="F20" i="1"/>
  <c r="H20" i="1" s="1"/>
  <c r="E20" i="1"/>
  <c r="D20" i="1"/>
  <c r="C20" i="1"/>
  <c r="G19" i="1"/>
  <c r="F19" i="1"/>
  <c r="E19" i="1"/>
  <c r="D19" i="1"/>
  <c r="C19" i="1"/>
  <c r="G18" i="1"/>
  <c r="F18" i="1"/>
  <c r="E18" i="1"/>
  <c r="H18" i="1" s="1"/>
  <c r="D18" i="1"/>
  <c r="C18" i="1"/>
  <c r="G16" i="1"/>
  <c r="F16" i="1"/>
  <c r="E16" i="1"/>
  <c r="D16" i="1"/>
  <c r="C16" i="1"/>
  <c r="G15" i="1"/>
  <c r="F15" i="1"/>
  <c r="E15" i="1"/>
  <c r="D15" i="1"/>
  <c r="C15" i="1"/>
  <c r="G13" i="1"/>
  <c r="G14" i="1" s="1"/>
  <c r="F13" i="1"/>
  <c r="F14" i="1" s="1"/>
  <c r="E13" i="1"/>
  <c r="E14" i="1" s="1"/>
  <c r="D13" i="1"/>
  <c r="D14" i="1" s="1"/>
  <c r="C13" i="1"/>
  <c r="G12" i="1"/>
  <c r="F12" i="1"/>
  <c r="E12" i="1"/>
  <c r="D12" i="1"/>
  <c r="C12" i="1"/>
  <c r="G10" i="1"/>
  <c r="F10" i="1"/>
  <c r="E10" i="1"/>
  <c r="D10" i="1"/>
  <c r="C10" i="1"/>
  <c r="G9" i="1"/>
  <c r="F9" i="1"/>
  <c r="E9" i="1"/>
  <c r="D9" i="1"/>
  <c r="C9" i="1"/>
  <c r="F25" i="6"/>
  <c r="E25" i="6"/>
  <c r="D25" i="6"/>
  <c r="C25" i="6"/>
  <c r="H12" i="1" l="1"/>
  <c r="H22" i="1"/>
  <c r="H25" i="1"/>
  <c r="I28" i="1"/>
  <c r="I24" i="1"/>
  <c r="H27" i="1"/>
  <c r="I29" i="1"/>
  <c r="I25" i="1"/>
  <c r="H28" i="1"/>
  <c r="H31" i="1"/>
  <c r="H15" i="1"/>
  <c r="I9" i="1"/>
  <c r="H10" i="1"/>
  <c r="I13" i="1"/>
  <c r="H30" i="1"/>
  <c r="I20" i="1"/>
  <c r="H19" i="1"/>
  <c r="I10" i="1"/>
  <c r="C14" i="1"/>
  <c r="I14" i="1" s="1"/>
  <c r="I30" i="1"/>
  <c r="H9" i="1"/>
  <c r="H14" i="1"/>
  <c r="I18" i="1"/>
  <c r="I15" i="1"/>
  <c r="H16" i="1"/>
  <c r="I19" i="1"/>
  <c r="I22" i="1"/>
  <c r="I31" i="1"/>
  <c r="H13" i="1"/>
  <c r="I12" i="1"/>
  <c r="I16" i="1"/>
  <c r="I21" i="1"/>
  <c r="I27" i="1"/>
  <c r="D34" i="6"/>
  <c r="E34" i="6"/>
  <c r="F34" i="6"/>
  <c r="C34" i="6"/>
  <c r="F10" i="6" l="1"/>
  <c r="E10" i="6"/>
  <c r="D10" i="6"/>
  <c r="C10" i="6"/>
  <c r="B10" i="6"/>
  <c r="B9" i="6"/>
  <c r="F31" i="6" l="1"/>
  <c r="C31" i="6"/>
  <c r="D31" i="6"/>
  <c r="E31" i="6"/>
  <c r="F9" i="6"/>
  <c r="E9" i="6"/>
  <c r="D9" i="6"/>
  <c r="C9" i="6"/>
  <c r="C30" i="6" s="1"/>
  <c r="F26" i="6"/>
  <c r="E26" i="6"/>
  <c r="D26" i="6"/>
  <c r="C26" i="6"/>
  <c r="B26" i="6"/>
  <c r="B24" i="6"/>
  <c r="F24" i="6"/>
  <c r="E24" i="6"/>
  <c r="D24" i="6"/>
  <c r="C24" i="6"/>
  <c r="B23" i="6"/>
  <c r="F23" i="6"/>
  <c r="E23" i="6"/>
  <c r="D23" i="6"/>
  <c r="C23" i="6"/>
  <c r="F22" i="6"/>
  <c r="E22" i="6"/>
  <c r="D22" i="6"/>
  <c r="C22" i="6"/>
  <c r="B22" i="6"/>
  <c r="F21" i="6"/>
  <c r="E21" i="6"/>
  <c r="D21" i="6"/>
  <c r="C21" i="6"/>
  <c r="B21" i="6"/>
  <c r="F17" i="6"/>
  <c r="F16" i="6"/>
  <c r="F15" i="6"/>
  <c r="F14" i="6"/>
  <c r="E17" i="6"/>
  <c r="E16" i="6"/>
  <c r="E15" i="6"/>
  <c r="E14" i="6"/>
  <c r="D17" i="6"/>
  <c r="D16" i="6"/>
  <c r="D15" i="6"/>
  <c r="D14" i="6"/>
  <c r="C17" i="6"/>
  <c r="C16" i="6"/>
  <c r="C15" i="6"/>
  <c r="C14" i="6"/>
  <c r="B17" i="6"/>
  <c r="B16" i="6"/>
  <c r="B15" i="6"/>
  <c r="B14" i="6"/>
  <c r="F13" i="6"/>
  <c r="E13" i="6"/>
  <c r="D13" i="6"/>
  <c r="C13" i="6"/>
  <c r="B13" i="6"/>
  <c r="F7" i="6"/>
  <c r="E7" i="6"/>
  <c r="D7" i="6"/>
  <c r="C7" i="6"/>
  <c r="B7" i="6"/>
  <c r="F6" i="6"/>
  <c r="E6" i="6"/>
  <c r="D6" i="6"/>
  <c r="C6" i="6"/>
  <c r="B6" i="6"/>
  <c r="F5" i="6"/>
  <c r="E5" i="6"/>
  <c r="D5" i="6"/>
  <c r="C5" i="6"/>
  <c r="B5" i="6"/>
  <c r="F4" i="6"/>
  <c r="E4" i="6"/>
  <c r="D4" i="6"/>
  <c r="C4" i="6"/>
  <c r="B4" i="6"/>
  <c r="F3" i="6"/>
  <c r="E3" i="6"/>
  <c r="D3" i="6"/>
  <c r="C3" i="6"/>
  <c r="B3" i="6"/>
  <c r="B1" i="6"/>
  <c r="C1" i="6"/>
  <c r="C28" i="6" s="1"/>
  <c r="D1" i="6"/>
  <c r="D28" i="6" s="1"/>
  <c r="E1" i="6"/>
  <c r="E28" i="6" s="1"/>
  <c r="F1" i="6"/>
  <c r="F28" i="6" s="1"/>
  <c r="F7" i="1"/>
  <c r="C7" i="1"/>
  <c r="D7" i="1"/>
  <c r="E7" i="1"/>
  <c r="G7" i="1"/>
  <c r="D29" i="6" l="1"/>
  <c r="E32" i="6"/>
  <c r="C33" i="6"/>
  <c r="F30" i="6"/>
  <c r="C29" i="6"/>
  <c r="D32" i="6"/>
  <c r="E30" i="6"/>
  <c r="D18" i="6"/>
  <c r="E29" i="6"/>
  <c r="F32" i="6"/>
  <c r="F29" i="6"/>
  <c r="C32" i="6"/>
  <c r="D30" i="6"/>
  <c r="E33" i="6"/>
  <c r="D33" i="6"/>
  <c r="F33" i="6"/>
  <c r="F18" i="6"/>
  <c r="B8" i="6"/>
  <c r="B18" i="6"/>
  <c r="C18" i="6"/>
  <c r="E18" i="6"/>
  <c r="F8" i="6"/>
  <c r="E8" i="6"/>
  <c r="C8" i="6"/>
  <c r="D8" i="6"/>
</calcChain>
</file>

<file path=xl/sharedStrings.xml><?xml version="1.0" encoding="utf-8"?>
<sst xmlns="http://schemas.openxmlformats.org/spreadsheetml/2006/main" count="189" uniqueCount="168">
  <si>
    <t>Ratio Analysis</t>
  </si>
  <si>
    <t>Liquidity Ratios</t>
  </si>
  <si>
    <t>Efficiency Ratios</t>
  </si>
  <si>
    <t>Leverage Ratios</t>
  </si>
  <si>
    <t>Coverage Ratios</t>
  </si>
  <si>
    <t>Profitability Ratios</t>
  </si>
  <si>
    <t>Revenue</t>
  </si>
  <si>
    <t>Interest Expense</t>
  </si>
  <si>
    <t>Other income (expense)</t>
  </si>
  <si>
    <t>Net income</t>
  </si>
  <si>
    <t>Net income available to common shareholders</t>
  </si>
  <si>
    <t>Earnings per share</t>
  </si>
  <si>
    <t>Basic</t>
  </si>
  <si>
    <t>Diluted</t>
  </si>
  <si>
    <t>Weighted average shares outstanding</t>
  </si>
  <si>
    <t>EBITDA</t>
  </si>
  <si>
    <t>Assets</t>
  </si>
  <si>
    <t>Receivables</t>
  </si>
  <si>
    <t>Goodwill</t>
  </si>
  <si>
    <t>Total assets</t>
  </si>
  <si>
    <t>Liabilities and stockholders' equity</t>
  </si>
  <si>
    <t>Liabilities</t>
  </si>
  <si>
    <t>Accrued liabilities</t>
  </si>
  <si>
    <t>Long-term debt</t>
  </si>
  <si>
    <t>Total liabilities</t>
  </si>
  <si>
    <t>Stockholders' equity</t>
  </si>
  <si>
    <t>Retained earnings</t>
  </si>
  <si>
    <t>Accumulated other comprehensive income</t>
  </si>
  <si>
    <t>Total stockholders' equity</t>
  </si>
  <si>
    <t>Total liabilities and stockholders' equity</t>
  </si>
  <si>
    <t>Cash Flows From Operating Activities</t>
  </si>
  <si>
    <t>Depreciation &amp; amortization</t>
  </si>
  <si>
    <t>Net cash provided by operating activities</t>
  </si>
  <si>
    <t>Cash Flows From Investing Activities</t>
  </si>
  <si>
    <t>Purchases of investments</t>
  </si>
  <si>
    <t>Other investing activities</t>
  </si>
  <si>
    <t>Net cash used for investing activities</t>
  </si>
  <si>
    <t>Cash Flows From Financing Activities</t>
  </si>
  <si>
    <t>Common stock issued</t>
  </si>
  <si>
    <t>Other financing activities</t>
  </si>
  <si>
    <t>Net cash provided by (used for) financing activities</t>
  </si>
  <si>
    <t>Net change in cash</t>
  </si>
  <si>
    <t>Cash at beginning of period</t>
  </si>
  <si>
    <t>Cash at end of period</t>
  </si>
  <si>
    <t>Free Cash Flow</t>
  </si>
  <si>
    <t>Fiscal year ends in December. USD in millions except per share data.</t>
  </si>
  <si>
    <t>2009-12</t>
  </si>
  <si>
    <t>2010-12</t>
  </si>
  <si>
    <t>2011-12</t>
  </si>
  <si>
    <t>2012-12</t>
  </si>
  <si>
    <t>2013-12</t>
  </si>
  <si>
    <t>Other income</t>
  </si>
  <si>
    <t>Common stock</t>
  </si>
  <si>
    <t>Treasury stock</t>
  </si>
  <si>
    <t>Financial Statement Summary</t>
  </si>
  <si>
    <t>Income Statement</t>
  </si>
  <si>
    <t>Total Operating Expenses</t>
  </si>
  <si>
    <t>Net Income</t>
  </si>
  <si>
    <t>Profit Margin</t>
  </si>
  <si>
    <t>Balance Sheet</t>
  </si>
  <si>
    <t>Total Current Assets</t>
  </si>
  <si>
    <t>Total Assets</t>
  </si>
  <si>
    <t>Total Current Liabilities</t>
  </si>
  <si>
    <t>Total Liabilities</t>
  </si>
  <si>
    <t>Total Stockholders' Equity</t>
  </si>
  <si>
    <t>Cash Flow</t>
  </si>
  <si>
    <t>Net Cash Provided by Operating Activities</t>
  </si>
  <si>
    <t>Net Cash Used for Investing Activities</t>
  </si>
  <si>
    <t>Net Cash Provided by (used for) Financing Activities</t>
  </si>
  <si>
    <t>Net Income Available to Common Shareholders</t>
  </si>
  <si>
    <t>Operating Income</t>
  </si>
  <si>
    <t>Operating Cash Flow</t>
  </si>
  <si>
    <t>Capital Expenditure</t>
  </si>
  <si>
    <t>Year Over Year Change</t>
  </si>
  <si>
    <t>Net Income Growth</t>
  </si>
  <si>
    <t>Operating Cash Flow Growth</t>
  </si>
  <si>
    <t>Free Cash Flow Growth</t>
  </si>
  <si>
    <t>Operating Income Growth</t>
  </si>
  <si>
    <t>Revenue Growth</t>
  </si>
  <si>
    <t>EBITDA Growth</t>
  </si>
  <si>
    <t>Stock Ticker:</t>
  </si>
  <si>
    <t>Company Name:</t>
  </si>
  <si>
    <t>Industry/Sector:</t>
  </si>
  <si>
    <t>Date of Analysis:</t>
  </si>
  <si>
    <t>Avg 3-yr</t>
  </si>
  <si>
    <t>Avg 5-yr</t>
  </si>
  <si>
    <t>Measure</t>
  </si>
  <si>
    <t xml:space="preserve">   Current Ratio</t>
  </si>
  <si>
    <t xml:space="preserve">   Quick Ratio</t>
  </si>
  <si>
    <t xml:space="preserve">   Inventory Turnover</t>
  </si>
  <si>
    <t xml:space="preserve">   Accts Rec. Turnover</t>
  </si>
  <si>
    <t xml:space="preserve">   Average Collection Period</t>
  </si>
  <si>
    <t xml:space="preserve">   Fixed Asset Turnover</t>
  </si>
  <si>
    <t xml:space="preserve">   Total Asset Turnover</t>
  </si>
  <si>
    <t xml:space="preserve">   Long-term Debt Ratio</t>
  </si>
  <si>
    <t xml:space="preserve">   Total Debt to Equity</t>
  </si>
  <si>
    <t xml:space="preserve">   LTD to Equity</t>
  </si>
  <si>
    <t xml:space="preserve">   Times Interest Earned</t>
  </si>
  <si>
    <t xml:space="preserve">   Cash Coverage Ratio</t>
  </si>
  <si>
    <t xml:space="preserve">   Gross Profit Margin</t>
  </si>
  <si>
    <t xml:space="preserve">   Operating Profit Margin</t>
  </si>
  <si>
    <t xml:space="preserve">   Net Profit Margin</t>
  </si>
  <si>
    <t xml:space="preserve">   Return on Assets</t>
  </si>
  <si>
    <t xml:space="preserve">   Return on Equity</t>
  </si>
  <si>
    <t xml:space="preserve">   Total Liabilities to Assets</t>
  </si>
  <si>
    <t>Total Liabilities to Assets</t>
  </si>
  <si>
    <t xml:space="preserve">   Equity Multiplier</t>
  </si>
  <si>
    <t>CATERPILLAR INC  (CAT) CashFlowFlag INCOME STATEMENT</t>
  </si>
  <si>
    <t>Cost of revenue</t>
  </si>
  <si>
    <t>Gross profit</t>
  </si>
  <si>
    <t>Operating expenses</t>
  </si>
  <si>
    <t>Research and development</t>
  </si>
  <si>
    <t>Sales, General and administrative</t>
  </si>
  <si>
    <t>Other operating expenses</t>
  </si>
  <si>
    <t>Total operating expenses</t>
  </si>
  <si>
    <t>Operating income</t>
  </si>
  <si>
    <t>Income before taxes</t>
  </si>
  <si>
    <t>Provision for income taxes</t>
  </si>
  <si>
    <t>Net income from continuing operations</t>
  </si>
  <si>
    <t>Other</t>
  </si>
  <si>
    <t>CATERPILLAR INC  (CAT) CashFlowFlag BALANCE SHEET</t>
  </si>
  <si>
    <t>Current assets</t>
  </si>
  <si>
    <t>Cash</t>
  </si>
  <si>
    <t>Cash and cash equivalents</t>
  </si>
  <si>
    <t>Total cash</t>
  </si>
  <si>
    <t>Inventories</t>
  </si>
  <si>
    <t>Deferred income taxes</t>
  </si>
  <si>
    <t>Prepaid expenses</t>
  </si>
  <si>
    <t>Other current assets</t>
  </si>
  <si>
    <t>Total current assets</t>
  </si>
  <si>
    <t>Non-current assets</t>
  </si>
  <si>
    <t>Property, plant and equipment</t>
  </si>
  <si>
    <t>Gross property, plant and equipment</t>
  </si>
  <si>
    <t>Accumulated Depreciation</t>
  </si>
  <si>
    <t>Net property, plant and equipment</t>
  </si>
  <si>
    <t>Equity and other investments</t>
  </si>
  <si>
    <t>Intangible assets</t>
  </si>
  <si>
    <t>Other long-term assets</t>
  </si>
  <si>
    <t>Total non-current assets</t>
  </si>
  <si>
    <t>Current liabilities</t>
  </si>
  <si>
    <t>Short-term debt</t>
  </si>
  <si>
    <t>Accounts payable</t>
  </si>
  <si>
    <t>Deferred revenues</t>
  </si>
  <si>
    <t>Other current liabilities</t>
  </si>
  <si>
    <t>Total current liabilities</t>
  </si>
  <si>
    <t>Non-current liabilities</t>
  </si>
  <si>
    <t>Pensions and other benefits</t>
  </si>
  <si>
    <t>Minority interest</t>
  </si>
  <si>
    <t>Other long-term liabilities</t>
  </si>
  <si>
    <t>Total non-current liabilities</t>
  </si>
  <si>
    <t>CATERPILLAR INC  (CAT) Statement of  CASH FLOW</t>
  </si>
  <si>
    <t>Investment/asset impairment charges</t>
  </si>
  <si>
    <t>Accounts receivable</t>
  </si>
  <si>
    <t>Inventory</t>
  </si>
  <si>
    <t>Other working capital</t>
  </si>
  <si>
    <t>Other non-cash items</t>
  </si>
  <si>
    <t>Investments in property, plant, and equipment</t>
  </si>
  <si>
    <t>Property, plant, and equipment reductions</t>
  </si>
  <si>
    <t>Acquisitions, net</t>
  </si>
  <si>
    <t>Sales/Maturities of investments</t>
  </si>
  <si>
    <t>Debt issued</t>
  </si>
  <si>
    <t>Debt repayment</t>
  </si>
  <si>
    <t>Common stock repurchased</t>
  </si>
  <si>
    <t>Dividend paid</t>
  </si>
  <si>
    <t>Effect of exchange rate changes</t>
  </si>
  <si>
    <t>Operating cash flow</t>
  </si>
  <si>
    <t>Capital expenditure</t>
  </si>
  <si>
    <t>Free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</si>
</sst>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20\1\3"/>
    <numFmt numFmtId="165" formatCode="[$-409]mmmm\-yy;@"/>
    <numFmt numFmtId="166" formatCode="0.0%"/>
    <numFmt numFmtId="167" formatCode="0.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Border="1"/>
    <xf numFmtId="0" fontId="5" fillId="0" borderId="5" xfId="0" applyFont="1" applyBorder="1"/>
    <xf numFmtId="0" fontId="5" fillId="0" borderId="5" xfId="0" applyFont="1" applyFill="1" applyBorder="1"/>
    <xf numFmtId="0" fontId="5" fillId="0" borderId="10" xfId="0" applyFont="1" applyBorder="1"/>
    <xf numFmtId="0" fontId="6" fillId="3" borderId="12" xfId="0" applyFont="1" applyFill="1" applyBorder="1"/>
    <xf numFmtId="0" fontId="5" fillId="0" borderId="0" xfId="0" applyFont="1" applyBorder="1"/>
    <xf numFmtId="167" fontId="5" fillId="0" borderId="0" xfId="0" applyNumberFormat="1" applyFont="1" applyBorder="1"/>
    <xf numFmtId="164" fontId="6" fillId="4" borderId="12" xfId="0" applyNumberFormat="1" applyFont="1" applyFill="1" applyBorder="1" applyAlignment="1">
      <alignment horizontal="center"/>
    </xf>
    <xf numFmtId="165" fontId="6" fillId="4" borderId="12" xfId="0" applyNumberFormat="1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2" xfId="0" applyFont="1" applyFill="1" applyBorder="1"/>
    <xf numFmtId="0" fontId="7" fillId="2" borderId="4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7" fillId="0" borderId="0" xfId="0" applyFont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7" fillId="0" borderId="5" xfId="0" applyFont="1" applyBorder="1"/>
    <xf numFmtId="0" fontId="7" fillId="0" borderId="0" xfId="0" applyFont="1" applyBorder="1"/>
    <xf numFmtId="0" fontId="7" fillId="0" borderId="6" xfId="0" applyFont="1" applyBorder="1"/>
    <xf numFmtId="10" fontId="7" fillId="0" borderId="0" xfId="1" applyNumberFormat="1" applyFont="1" applyBorder="1"/>
    <xf numFmtId="10" fontId="7" fillId="0" borderId="6" xfId="1" applyNumberFormat="1" applyFont="1" applyBorder="1"/>
    <xf numFmtId="0" fontId="7" fillId="0" borderId="9" xfId="0" applyFont="1" applyBorder="1"/>
    <xf numFmtId="0" fontId="7" fillId="0" borderId="5" xfId="0" applyFont="1" applyFill="1" applyBorder="1"/>
    <xf numFmtId="0" fontId="7" fillId="0" borderId="0" xfId="0" applyFont="1" applyFill="1" applyBorder="1"/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0" borderId="10" xfId="0" applyFont="1" applyBorder="1"/>
    <xf numFmtId="0" fontId="7" fillId="0" borderId="7" xfId="0" applyFont="1" applyBorder="1"/>
    <xf numFmtId="10" fontId="7" fillId="0" borderId="7" xfId="1" applyNumberFormat="1" applyFont="1" applyBorder="1"/>
    <xf numFmtId="10" fontId="7" fillId="0" borderId="8" xfId="1" applyNumberFormat="1" applyFont="1" applyBorder="1"/>
    <xf numFmtId="10" fontId="7" fillId="0" borderId="9" xfId="1" applyNumberFormat="1" applyFont="1" applyBorder="1"/>
    <xf numFmtId="2" fontId="5" fillId="0" borderId="0" xfId="1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166" fontId="5" fillId="0" borderId="0" xfId="1" applyNumberFormat="1" applyFont="1" applyBorder="1" applyAlignment="1">
      <alignment horizontal="right"/>
    </xf>
    <xf numFmtId="166" fontId="5" fillId="0" borderId="9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7" fontId="5" fillId="0" borderId="0" xfId="1" applyNumberFormat="1" applyFont="1" applyBorder="1" applyAlignment="1">
      <alignment horizontal="right"/>
    </xf>
    <xf numFmtId="166" fontId="5" fillId="0" borderId="7" xfId="1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Revenue and Income Growth</a:t>
            </a:r>
          </a:p>
        </c:rich>
      </c:tx>
      <c:layout>
        <c:manualLayout>
          <c:xMode val="edge"/>
          <c:yMode val="edge"/>
          <c:x val="0.26046512725235188"/>
          <c:y val="2.666665266842402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205855196954137"/>
          <c:y val="0.21550435825151484"/>
          <c:w val="0.7809203987841441"/>
          <c:h val="0.48664204011535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Financials!$A$32</c:f>
              <c:strCache>
                <c:ptCount val="1"/>
                <c:pt idx="0">
                  <c:v>Net Income Growth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Financials!$C$28:$F$28</c:f>
              <c:strCache>
                <c:ptCount val="4"/>
                <c:pt idx="0">
                  <c:v>2010-12</c:v>
                </c:pt>
                <c:pt idx="1">
                  <c:v>2011-12</c:v>
                </c:pt>
                <c:pt idx="2">
                  <c:v>2012-12</c:v>
                </c:pt>
                <c:pt idx="3">
                  <c:v>2013-12</c:v>
                </c:pt>
              </c:strCache>
            </c:strRef>
          </c:cat>
          <c:val>
            <c:numRef>
              <c:f>Financials!$C$32:$F$32</c:f>
              <c:numCache>
                <c:formatCode>0.00%</c:formatCode>
                <c:ptCount val="4"/>
                <c:pt idx="0">
                  <c:v>2.016759776536313</c:v>
                </c:pt>
                <c:pt idx="1">
                  <c:v>0.82518518518518524</c:v>
                </c:pt>
                <c:pt idx="2">
                  <c:v>0.15280032467532467</c:v>
                </c:pt>
                <c:pt idx="3">
                  <c:v>-0.33303995775391659</c:v>
                </c:pt>
              </c:numCache>
            </c:numRef>
          </c:val>
        </c:ser>
        <c:ser>
          <c:idx val="1"/>
          <c:order val="1"/>
          <c:tx>
            <c:strRef>
              <c:f>Financials!$A$30</c:f>
              <c:strCache>
                <c:ptCount val="1"/>
                <c:pt idx="0">
                  <c:v>Operating Income Growth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Financials!$C$28:$F$28</c:f>
              <c:strCache>
                <c:ptCount val="4"/>
                <c:pt idx="0">
                  <c:v>2010-12</c:v>
                </c:pt>
                <c:pt idx="1">
                  <c:v>2011-12</c:v>
                </c:pt>
                <c:pt idx="2">
                  <c:v>2012-12</c:v>
                </c:pt>
                <c:pt idx="3">
                  <c:v>2013-12</c:v>
                </c:pt>
              </c:strCache>
            </c:strRef>
          </c:cat>
          <c:val>
            <c:numRef>
              <c:f>Financials!$C$30:$F$30</c:f>
              <c:numCache>
                <c:formatCode>0.00%</c:formatCode>
                <c:ptCount val="4"/>
                <c:pt idx="0">
                  <c:v>5.8682842287694976</c:v>
                </c:pt>
                <c:pt idx="1">
                  <c:v>0.80494574817057774</c:v>
                </c:pt>
                <c:pt idx="2">
                  <c:v>0.19851810429190553</c:v>
                </c:pt>
                <c:pt idx="3">
                  <c:v>-0.34352035460165631</c:v>
                </c:pt>
              </c:numCache>
            </c:numRef>
          </c:val>
        </c:ser>
        <c:ser>
          <c:idx val="3"/>
          <c:order val="2"/>
          <c:tx>
            <c:strRef>
              <c:f>Financials!$A$31</c:f>
              <c:strCache>
                <c:ptCount val="1"/>
                <c:pt idx="0">
                  <c:v>EBITDA Growth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Financials!$C$28:$F$28</c:f>
              <c:strCache>
                <c:ptCount val="4"/>
                <c:pt idx="0">
                  <c:v>2010-12</c:v>
                </c:pt>
                <c:pt idx="1">
                  <c:v>2011-12</c:v>
                </c:pt>
                <c:pt idx="2">
                  <c:v>2012-12</c:v>
                </c:pt>
                <c:pt idx="3">
                  <c:v>2013-12</c:v>
                </c:pt>
              </c:strCache>
            </c:strRef>
          </c:cat>
          <c:val>
            <c:numRef>
              <c:f>Financials!$C$31:$F$31</c:f>
              <c:numCache>
                <c:formatCode>0.00%</c:formatCode>
                <c:ptCount val="4"/>
                <c:pt idx="0">
                  <c:v>0.68310670661442718</c:v>
                </c:pt>
                <c:pt idx="1">
                  <c:v>0.43420512118307553</c:v>
                </c:pt>
                <c:pt idx="2">
                  <c:v>0.17557762077525307</c:v>
                </c:pt>
                <c:pt idx="3">
                  <c:v>-0.23601072037683746</c:v>
                </c:pt>
              </c:numCache>
            </c:numRef>
          </c:val>
        </c:ser>
        <c:ser>
          <c:idx val="2"/>
          <c:order val="3"/>
          <c:tx>
            <c:strRef>
              <c:f>Financials!$A$29</c:f>
              <c:strCache>
                <c:ptCount val="1"/>
                <c:pt idx="0">
                  <c:v>Revenue Growth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Financials!$C$28:$F$28</c:f>
              <c:strCache>
                <c:ptCount val="4"/>
                <c:pt idx="0">
                  <c:v>2010-12</c:v>
                </c:pt>
                <c:pt idx="1">
                  <c:v>2011-12</c:v>
                </c:pt>
                <c:pt idx="2">
                  <c:v>2012-12</c:v>
                </c:pt>
                <c:pt idx="3">
                  <c:v>2013-12</c:v>
                </c:pt>
              </c:strCache>
            </c:strRef>
          </c:cat>
          <c:val>
            <c:numRef>
              <c:f>Financials!$C$29:$F$29</c:f>
              <c:numCache>
                <c:formatCode>0.00%</c:formatCode>
                <c:ptCount val="4"/>
                <c:pt idx="0">
                  <c:v>0.31460674157303381</c:v>
                </c:pt>
                <c:pt idx="1">
                  <c:v>0.41208791208791218</c:v>
                </c:pt>
                <c:pt idx="2">
                  <c:v>9.5397252984801728E-2</c:v>
                </c:pt>
                <c:pt idx="3">
                  <c:v>-0.15512713472485773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646776"/>
        <c:axId val="254645992"/>
      </c:barChart>
      <c:catAx>
        <c:axId val="25464677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ln/>
        </c:spPr>
        <c:crossAx val="254645992"/>
        <c:crosses val="autoZero"/>
        <c:auto val="1"/>
        <c:lblAlgn val="ctr"/>
        <c:lblOffset val="100"/>
        <c:noMultiLvlLbl val="0"/>
      </c:catAx>
      <c:valAx>
        <c:axId val="25464599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54646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4435488054111758E-2"/>
          <c:y val="0.85049091085836481"/>
          <c:w val="0.98556451194588823"/>
          <c:h val="0.141956514694922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Income Statement Results</a:t>
            </a:r>
          </a:p>
        </c:rich>
      </c:tx>
      <c:layout>
        <c:manualLayout>
          <c:xMode val="edge"/>
          <c:yMode val="edge"/>
          <c:x val="0.24407954853596517"/>
          <c:y val="2.777873864032891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8571741032371027E-2"/>
          <c:y val="0.19491907261592475"/>
          <c:w val="0.85270603674541301"/>
          <c:h val="0.528576604098737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Financials!$A$3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Financials!$B$3:$F$3</c:f>
              <c:numCache>
                <c:formatCode>General</c:formatCode>
                <c:ptCount val="5"/>
                <c:pt idx="0">
                  <c:v>32396</c:v>
                </c:pt>
                <c:pt idx="1">
                  <c:v>42588</c:v>
                </c:pt>
                <c:pt idx="2">
                  <c:v>60138</c:v>
                </c:pt>
                <c:pt idx="3">
                  <c:v>65875</c:v>
                </c:pt>
                <c:pt idx="4">
                  <c:v>55656</c:v>
                </c:pt>
              </c:numCache>
            </c:numRef>
          </c:val>
        </c:ser>
        <c:ser>
          <c:idx val="4"/>
          <c:order val="1"/>
          <c:tx>
            <c:strRef>
              <c:f>Financials!$A$6</c:f>
              <c:strCache>
                <c:ptCount val="1"/>
                <c:pt idx="0">
                  <c:v>Net Income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Financials!$B$6:$F$6</c:f>
              <c:numCache>
                <c:formatCode>General</c:formatCode>
                <c:ptCount val="5"/>
                <c:pt idx="0">
                  <c:v>895</c:v>
                </c:pt>
                <c:pt idx="1">
                  <c:v>2700</c:v>
                </c:pt>
                <c:pt idx="2">
                  <c:v>4928</c:v>
                </c:pt>
                <c:pt idx="3">
                  <c:v>5681</c:v>
                </c:pt>
                <c:pt idx="4">
                  <c:v>3789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647560"/>
        <c:axId val="254647952"/>
      </c:barChart>
      <c:lineChart>
        <c:grouping val="standard"/>
        <c:varyColors val="0"/>
        <c:ser>
          <c:idx val="0"/>
          <c:order val="2"/>
          <c:tx>
            <c:strRef>
              <c:f>Financials!$A$8</c:f>
              <c:strCache>
                <c:ptCount val="1"/>
                <c:pt idx="0">
                  <c:v>Profit Margin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C0504D"/>
                </a:solidFill>
              </a:ln>
            </c:spPr>
          </c:marker>
          <c:cat>
            <c:numRef>
              <c:f>Financials!$B$2:$F$2</c:f>
              <c:numCache>
                <c:formatCode>General</c:formatCode>
                <c:ptCount val="5"/>
              </c:numCache>
            </c:numRef>
          </c:cat>
          <c:val>
            <c:numRef>
              <c:f>Financials!$B$8:$F$8</c:f>
              <c:numCache>
                <c:formatCode>0.00%</c:formatCode>
                <c:ptCount val="5"/>
                <c:pt idx="0">
                  <c:v>2.7626867514507963E-2</c:v>
                </c:pt>
                <c:pt idx="1">
                  <c:v>6.3398140321217239E-2</c:v>
                </c:pt>
                <c:pt idx="2">
                  <c:v>8.1944860154976887E-2</c:v>
                </c:pt>
                <c:pt idx="3">
                  <c:v>8.6239089184060716E-2</c:v>
                </c:pt>
                <c:pt idx="4">
                  <c:v>6.8078913324708931E-2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648344"/>
        <c:axId val="254648736"/>
      </c:lineChart>
      <c:catAx>
        <c:axId val="254647560"/>
        <c:scaling>
          <c:orientation val="minMax"/>
        </c:scaling>
        <c:delete val="0"/>
        <c:axPos val="b"/>
        <c:numFmt formatCode="m/d/yyyy" sourceLinked="0"/>
        <c:majorTickMark val="none"/>
        <c:minorTickMark val="out"/>
        <c:tickLblPos val="low"/>
        <c:spPr>
          <a:ln>
            <a:solidFill>
              <a:schemeClr val="tx1"/>
            </a:solidFill>
          </a:ln>
        </c:spPr>
        <c:crossAx val="254647952"/>
        <c:crosses val="autoZero"/>
        <c:auto val="1"/>
        <c:lblAlgn val="ctr"/>
        <c:lblOffset val="50"/>
        <c:noMultiLvlLbl val="0"/>
      </c:catAx>
      <c:valAx>
        <c:axId val="254647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4647560"/>
        <c:crosses val="autoZero"/>
        <c:crossBetween val="between"/>
      </c:valAx>
      <c:catAx>
        <c:axId val="25464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4648736"/>
        <c:crosses val="autoZero"/>
        <c:auto val="1"/>
        <c:lblAlgn val="ctr"/>
        <c:lblOffset val="100"/>
        <c:noMultiLvlLbl val="0"/>
      </c:catAx>
      <c:valAx>
        <c:axId val="254648736"/>
        <c:scaling>
          <c:orientation val="minMax"/>
          <c:max val="1"/>
          <c:min val="0"/>
        </c:scaling>
        <c:delete val="0"/>
        <c:axPos val="r"/>
        <c:numFmt formatCode="0.00%" sourceLinked="1"/>
        <c:majorTickMark val="out"/>
        <c:minorTickMark val="none"/>
        <c:tickLblPos val="nextTo"/>
        <c:crossAx val="254648344"/>
        <c:crosses val="max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584324620241183"/>
          <c:y val="0.8930866445162563"/>
          <c:w val="0.74445334684041697"/>
          <c:h val="9.329085309423024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Balance Sheet Results</a:t>
            </a:r>
          </a:p>
        </c:rich>
      </c:tx>
      <c:layout>
        <c:manualLayout>
          <c:xMode val="edge"/>
          <c:yMode val="edge"/>
          <c:x val="0.30119395075615546"/>
          <c:y val="4.301060958929429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8571741032371027E-2"/>
          <c:y val="0.19491907261592481"/>
          <c:w val="0.85270603674541323"/>
          <c:h val="0.52904365827510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Financials!$A$14</c:f>
              <c:strCache>
                <c:ptCount val="1"/>
                <c:pt idx="0">
                  <c:v>Total Assets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Financials!$B$14:$F$14</c:f>
              <c:numCache>
                <c:formatCode>General</c:formatCode>
                <c:ptCount val="5"/>
                <c:pt idx="0">
                  <c:v>60038</c:v>
                </c:pt>
                <c:pt idx="1">
                  <c:v>64020</c:v>
                </c:pt>
                <c:pt idx="2">
                  <c:v>81218</c:v>
                </c:pt>
                <c:pt idx="3">
                  <c:v>88970</c:v>
                </c:pt>
                <c:pt idx="4">
                  <c:v>84896</c:v>
                </c:pt>
              </c:numCache>
            </c:numRef>
          </c:val>
        </c:ser>
        <c:ser>
          <c:idx val="3"/>
          <c:order val="1"/>
          <c:tx>
            <c:strRef>
              <c:f>Financials!$A$16</c:f>
              <c:strCache>
                <c:ptCount val="1"/>
                <c:pt idx="0">
                  <c:v>Total Liabilities</c:v>
                </c:pt>
              </c:strCache>
            </c:strRef>
          </c:tx>
          <c:invertIfNegative val="0"/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Financials!$B$16:$F$16</c:f>
              <c:numCache>
                <c:formatCode>General</c:formatCode>
                <c:ptCount val="5"/>
                <c:pt idx="0">
                  <c:v>51298</c:v>
                </c:pt>
                <c:pt idx="1">
                  <c:v>53196</c:v>
                </c:pt>
                <c:pt idx="2">
                  <c:v>68335</c:v>
                </c:pt>
                <c:pt idx="3">
                  <c:v>71438</c:v>
                </c:pt>
                <c:pt idx="4">
                  <c:v>64085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649520"/>
        <c:axId val="254649912"/>
      </c:barChart>
      <c:lineChart>
        <c:grouping val="standard"/>
        <c:varyColors val="0"/>
        <c:ser>
          <c:idx val="1"/>
          <c:order val="2"/>
          <c:tx>
            <c:strRef>
              <c:f>Financials!$A$18</c:f>
              <c:strCache>
                <c:ptCount val="1"/>
                <c:pt idx="0">
                  <c:v>Total Liabilities to Assets</c:v>
                </c:pt>
              </c:strCache>
            </c:strRef>
          </c:tx>
          <c:marker>
            <c:spPr>
              <a:solidFill>
                <a:srgbClr val="FF0000"/>
              </a:solidFill>
            </c:spPr>
          </c:marker>
          <c:cat>
            <c:numRef>
              <c:f>Financials!$B$12:$F$12</c:f>
              <c:numCache>
                <c:formatCode>General</c:formatCode>
                <c:ptCount val="5"/>
              </c:numCache>
            </c:numRef>
          </c:cat>
          <c:val>
            <c:numRef>
              <c:f>Financials!$B$18:$F$18</c:f>
              <c:numCache>
                <c:formatCode>0.00%</c:formatCode>
                <c:ptCount val="5"/>
                <c:pt idx="0">
                  <c:v>0.8544255304973517</c:v>
                </c:pt>
                <c:pt idx="1">
                  <c:v>0.83092783505154644</c:v>
                </c:pt>
                <c:pt idx="2">
                  <c:v>0.84137752714915415</c:v>
                </c:pt>
                <c:pt idx="3">
                  <c:v>0.8029448128582668</c:v>
                </c:pt>
                <c:pt idx="4">
                  <c:v>0.75486477572559363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650304"/>
        <c:axId val="252898408"/>
      </c:lineChart>
      <c:catAx>
        <c:axId val="254649520"/>
        <c:scaling>
          <c:orientation val="minMax"/>
        </c:scaling>
        <c:delete val="0"/>
        <c:axPos val="b"/>
        <c:numFmt formatCode="yyyy\-mm" sourceLinked="0"/>
        <c:majorTickMark val="none"/>
        <c:minorTickMark val="out"/>
        <c:tickLblPos val="nextTo"/>
        <c:spPr>
          <a:ln/>
        </c:spPr>
        <c:crossAx val="254649912"/>
        <c:crosses val="autoZero"/>
        <c:auto val="1"/>
        <c:lblAlgn val="ctr"/>
        <c:lblOffset val="100"/>
        <c:noMultiLvlLbl val="0"/>
      </c:catAx>
      <c:valAx>
        <c:axId val="254649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4649520"/>
        <c:crosses val="autoZero"/>
        <c:crossBetween val="between"/>
      </c:valAx>
      <c:catAx>
        <c:axId val="254650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2898408"/>
        <c:crosses val="autoZero"/>
        <c:auto val="1"/>
        <c:lblAlgn val="ctr"/>
        <c:lblOffset val="100"/>
        <c:noMultiLvlLbl val="0"/>
      </c:catAx>
      <c:valAx>
        <c:axId val="252898408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crossAx val="254650304"/>
        <c:crosses val="max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6.3683239595050622E-2"/>
          <c:y val="0.84537591955935087"/>
          <c:w val="0.86341887264091988"/>
          <c:h val="0.1483642009537540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Cash Flow Results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429396325459322"/>
          <c:y val="0.16785337730219621"/>
          <c:w val="0.82437967642105126"/>
          <c:h val="0.55461047650733797"/>
        </c:manualLayout>
      </c:layout>
      <c:lineChart>
        <c:grouping val="standard"/>
        <c:varyColors val="0"/>
        <c:ser>
          <c:idx val="1"/>
          <c:order val="0"/>
          <c:tx>
            <c:strRef>
              <c:f>Financials!$A$21</c:f>
              <c:strCache>
                <c:ptCount val="1"/>
                <c:pt idx="0">
                  <c:v>Net Cash Provided by Operating Activities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Financials!$B$21:$F$21</c:f>
              <c:numCache>
                <c:formatCode>General</c:formatCode>
                <c:ptCount val="5"/>
                <c:pt idx="0">
                  <c:v>6499</c:v>
                </c:pt>
                <c:pt idx="1">
                  <c:v>5009</c:v>
                </c:pt>
                <c:pt idx="2">
                  <c:v>6957</c:v>
                </c:pt>
                <c:pt idx="3">
                  <c:v>5184</c:v>
                </c:pt>
                <c:pt idx="4">
                  <c:v>10191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Financials!$A$22</c:f>
              <c:strCache>
                <c:ptCount val="1"/>
                <c:pt idx="0">
                  <c:v>Net Cash Used for Investing Activities</c:v>
                </c:pt>
              </c:strCache>
            </c:strRef>
          </c:tx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</c:spPr>
          </c:marker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Financials!$B$22:$F$22</c:f>
              <c:numCache>
                <c:formatCode>General</c:formatCode>
                <c:ptCount val="5"/>
                <c:pt idx="0">
                  <c:v>846</c:v>
                </c:pt>
                <c:pt idx="1">
                  <c:v>-1595</c:v>
                </c:pt>
                <c:pt idx="2">
                  <c:v>-11427</c:v>
                </c:pt>
                <c:pt idx="3">
                  <c:v>-6190</c:v>
                </c:pt>
                <c:pt idx="4">
                  <c:v>-5046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Financials!$A$23</c:f>
              <c:strCache>
                <c:ptCount val="1"/>
                <c:pt idx="0">
                  <c:v>Net Cash Provided by (used for) Financing Activities</c:v>
                </c:pt>
              </c:strCache>
            </c:strRef>
          </c:tx>
          <c:marker>
            <c:symbol val="diamond"/>
            <c:size val="7"/>
          </c:marker>
          <c:cat>
            <c:strRef>
              <c:f>Financials!$B$1:$F$1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Financials!$B$23:$F$23</c:f>
              <c:numCache>
                <c:formatCode>General</c:formatCode>
                <c:ptCount val="5"/>
                <c:pt idx="0">
                  <c:v>-5215</c:v>
                </c:pt>
                <c:pt idx="1">
                  <c:v>-4613</c:v>
                </c:pt>
                <c:pt idx="2">
                  <c:v>4019</c:v>
                </c:pt>
                <c:pt idx="3">
                  <c:v>3606</c:v>
                </c:pt>
                <c:pt idx="4">
                  <c:v>-4511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899192"/>
        <c:axId val="252899584"/>
      </c:lineChart>
      <c:catAx>
        <c:axId val="25289919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ln/>
        </c:spPr>
        <c:crossAx val="252899584"/>
        <c:crosses val="autoZero"/>
        <c:auto val="1"/>
        <c:lblAlgn val="ctr"/>
        <c:lblOffset val="100"/>
        <c:noMultiLvlLbl val="0"/>
      </c:catAx>
      <c:valAx>
        <c:axId val="25289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2899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6954557150944364E-2"/>
          <c:y val="0.81124128498022252"/>
          <c:w val="0.88723048125860493"/>
          <c:h val="0.1694068241469816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Margins</a:t>
            </a:r>
          </a:p>
        </c:rich>
      </c:tx>
      <c:layout>
        <c:manualLayout>
          <c:xMode val="edge"/>
          <c:yMode val="edge"/>
          <c:x val="0.41924657673604754"/>
          <c:y val="3.33331784854326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02156707155792"/>
          <c:y val="0.14809498370225849"/>
          <c:w val="0.82651488331400425"/>
          <c:h val="0.57009876456349262"/>
        </c:manualLayout>
      </c:layout>
      <c:lineChart>
        <c:grouping val="standard"/>
        <c:varyColors val="0"/>
        <c:ser>
          <c:idx val="0"/>
          <c:order val="0"/>
          <c:tx>
            <c:strRef>
              <c:f>'Ratio Analysis'!$B$27</c:f>
              <c:strCache>
                <c:ptCount val="1"/>
                <c:pt idx="0">
                  <c:v>   Gross Profit Margin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Analysis'!$C$27:$G$27</c:f>
              <c:numCache>
                <c:formatCode>0.0%</c:formatCode>
                <c:ptCount val="5"/>
                <c:pt idx="0">
                  <c:v>0.2626867514507964</c:v>
                </c:pt>
                <c:pt idx="1">
                  <c:v>0.2869587677279985</c:v>
                </c:pt>
                <c:pt idx="2">
                  <c:v>0.27536665668961391</c:v>
                </c:pt>
                <c:pt idx="3">
                  <c:v>0.28569259962049337</c:v>
                </c:pt>
                <c:pt idx="4">
                  <c:v>0.26823702745436251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'Ratio Analysis'!$B$29</c:f>
              <c:strCache>
                <c:ptCount val="1"/>
                <c:pt idx="0">
                  <c:v>   Net Profit Margin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diamond"/>
            <c:size val="7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Analysis'!$C$29:$G$29</c:f>
              <c:numCache>
                <c:formatCode>0.0%</c:formatCode>
                <c:ptCount val="5"/>
                <c:pt idx="0">
                  <c:v>2.7626867514507963E-2</c:v>
                </c:pt>
                <c:pt idx="1">
                  <c:v>6.3398140321217239E-2</c:v>
                </c:pt>
                <c:pt idx="2">
                  <c:v>8.1944860154976887E-2</c:v>
                </c:pt>
                <c:pt idx="3">
                  <c:v>8.6239089184060716E-2</c:v>
                </c:pt>
                <c:pt idx="4">
                  <c:v>6.8078913324708931E-2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'Ratio Analysis'!$B$28</c:f>
              <c:strCache>
                <c:ptCount val="1"/>
                <c:pt idx="0">
                  <c:v>   Operating Profit Margin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Analysis'!$C$28:$G$28</c:f>
              <c:numCache>
                <c:formatCode>0.0%</c:formatCode>
                <c:ptCount val="5"/>
                <c:pt idx="0">
                  <c:v>1.781084084454871E-2</c:v>
                </c:pt>
                <c:pt idx="1">
                  <c:v>9.3054381515919979E-2</c:v>
                </c:pt>
                <c:pt idx="2">
                  <c:v>0.11894309754231933</c:v>
                </c:pt>
                <c:pt idx="3">
                  <c:v>0.13014041745730551</c:v>
                </c:pt>
                <c:pt idx="4">
                  <c:v>0.10112117291936179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00368"/>
        <c:axId val="252900760"/>
      </c:lineChart>
      <c:catAx>
        <c:axId val="25290036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ln/>
        </c:spPr>
        <c:crossAx val="252900760"/>
        <c:crosses val="autoZero"/>
        <c:auto val="1"/>
        <c:lblAlgn val="ctr"/>
        <c:lblOffset val="100"/>
        <c:noMultiLvlLbl val="0"/>
      </c:catAx>
      <c:valAx>
        <c:axId val="2529007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52900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0554436509389823E-2"/>
          <c:y val="0.8242445358047058"/>
          <c:w val="0.91585383222446026"/>
          <c:h val="0.14993736402418725"/>
        </c:manualLayout>
      </c:layout>
      <c:overlay val="0"/>
      <c:spPr>
        <a:solidFill>
          <a:sysClr val="window" lastClr="FFFFFF"/>
        </a:solidFill>
      </c:spPr>
    </c:legend>
    <c:plotVisOnly val="1"/>
    <c:dispBlanksAs val="gap"/>
    <c:showDLblsOverMax val="0"/>
  </c:chart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Cash Flow Growth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953018372703568"/>
          <c:y val="0.18565981335666376"/>
          <c:w val="0.56644111506011874"/>
          <c:h val="0.619312081957493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Financials!$A$33</c:f>
              <c:strCache>
                <c:ptCount val="1"/>
                <c:pt idx="0">
                  <c:v>Operating Cash Flow Growth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Financials!$C$28:$F$28</c:f>
              <c:strCache>
                <c:ptCount val="4"/>
                <c:pt idx="0">
                  <c:v>2010-12</c:v>
                </c:pt>
                <c:pt idx="1">
                  <c:v>2011-12</c:v>
                </c:pt>
                <c:pt idx="2">
                  <c:v>2012-12</c:v>
                </c:pt>
                <c:pt idx="3">
                  <c:v>2013-12</c:v>
                </c:pt>
              </c:strCache>
            </c:strRef>
          </c:cat>
          <c:val>
            <c:numRef>
              <c:f>Financials!$C$33:$F$33</c:f>
              <c:numCache>
                <c:formatCode>0.00%</c:formatCode>
                <c:ptCount val="4"/>
                <c:pt idx="0">
                  <c:v>-0.22926604092937375</c:v>
                </c:pt>
                <c:pt idx="1">
                  <c:v>0.3888999800359354</c:v>
                </c:pt>
                <c:pt idx="2">
                  <c:v>-0.25485122897800772</c:v>
                </c:pt>
                <c:pt idx="3">
                  <c:v>0.9658564814814814</c:v>
                </c:pt>
              </c:numCache>
            </c:numRef>
          </c:val>
        </c:ser>
        <c:ser>
          <c:idx val="1"/>
          <c:order val="1"/>
          <c:tx>
            <c:strRef>
              <c:f>Financials!$A$34</c:f>
              <c:strCache>
                <c:ptCount val="1"/>
                <c:pt idx="0">
                  <c:v>Free Cash Flow Growth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Financials!$C$28:$F$28</c:f>
              <c:strCache>
                <c:ptCount val="4"/>
                <c:pt idx="0">
                  <c:v>2010-12</c:v>
                </c:pt>
                <c:pt idx="1">
                  <c:v>2011-12</c:v>
                </c:pt>
                <c:pt idx="2">
                  <c:v>2012-12</c:v>
                </c:pt>
                <c:pt idx="3">
                  <c:v>2013-12</c:v>
                </c:pt>
              </c:strCache>
            </c:strRef>
          </c:cat>
          <c:val>
            <c:numRef>
              <c:f>Financials!$C$34:$F$34</c:f>
              <c:numCache>
                <c:formatCode>0.00%</c:formatCode>
                <c:ptCount val="4"/>
                <c:pt idx="0">
                  <c:v>-0.39831139806307425</c:v>
                </c:pt>
                <c:pt idx="1">
                  <c:v>0.25175402393726776</c:v>
                </c:pt>
                <c:pt idx="2">
                  <c:v>-0.96439169139465875</c:v>
                </c:pt>
                <c:pt idx="3">
                  <c:v>52.194444444444443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901936"/>
        <c:axId val="252902328"/>
      </c:barChart>
      <c:catAx>
        <c:axId val="25290193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ln/>
        </c:spPr>
        <c:crossAx val="252902328"/>
        <c:crosses val="autoZero"/>
        <c:auto val="1"/>
        <c:lblAlgn val="ctr"/>
        <c:lblOffset val="100"/>
        <c:noMultiLvlLbl val="0"/>
      </c:catAx>
      <c:valAx>
        <c:axId val="25290232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52901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415071245770536"/>
          <c:y val="0.21219524642753124"/>
          <c:w val="0.2629468323940824"/>
          <c:h val="0.4043132108486461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Management Effectiveness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89472604986876E-2"/>
          <c:y val="0.11503768870993419"/>
          <c:w val="0.82787319553805772"/>
          <c:h val="0.622444432187273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'Ratio Analysis'!$B$29</c:f>
              <c:strCache>
                <c:ptCount val="1"/>
                <c:pt idx="0">
                  <c:v>   Net Profit Margin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Analysis'!$C$29:$F$29</c:f>
              <c:numCache>
                <c:formatCode>0.0%</c:formatCode>
                <c:ptCount val="4"/>
                <c:pt idx="0">
                  <c:v>2.7626867514507963E-2</c:v>
                </c:pt>
                <c:pt idx="1">
                  <c:v>6.3398140321217239E-2</c:v>
                </c:pt>
                <c:pt idx="2">
                  <c:v>8.1944860154976887E-2</c:v>
                </c:pt>
                <c:pt idx="3">
                  <c:v>8.6239089184060716E-2</c:v>
                </c:pt>
              </c:numCache>
            </c:numRef>
          </c:val>
        </c:ser>
        <c:ser>
          <c:idx val="4"/>
          <c:order val="1"/>
          <c:tx>
            <c:strRef>
              <c:f>'Ratio Analysis'!$B$22</c:f>
              <c:strCache>
                <c:ptCount val="1"/>
                <c:pt idx="0">
                  <c:v>   Equity Multiplier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Analysis'!$C$22:$G$22</c:f>
              <c:numCache>
                <c:formatCode>0.0</c:formatCode>
                <c:ptCount val="5"/>
                <c:pt idx="0">
                  <c:v>6.8693363844393591</c:v>
                </c:pt>
                <c:pt idx="1">
                  <c:v>5.9146341463414638</c:v>
                </c:pt>
                <c:pt idx="2">
                  <c:v>6.3042769541255916</c:v>
                </c:pt>
                <c:pt idx="3">
                  <c:v>5.0747205110654798</c:v>
                </c:pt>
                <c:pt idx="4">
                  <c:v>4.079381096535486</c:v>
                </c:pt>
              </c:numCache>
            </c:numRef>
          </c:val>
        </c:ser>
        <c:ser>
          <c:idx val="2"/>
          <c:order val="3"/>
          <c:tx>
            <c:strRef>
              <c:f>'Ratio Analysis'!$B$16</c:f>
              <c:strCache>
                <c:ptCount val="1"/>
                <c:pt idx="0">
                  <c:v>   Total Asset Turnover</c:v>
                </c:pt>
              </c:strCache>
            </c:strRef>
          </c:tx>
          <c:invertIfNegative val="0"/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Analysis'!$C$16:$G$16</c:f>
              <c:numCache>
                <c:formatCode>0.0</c:formatCode>
                <c:ptCount val="5"/>
                <c:pt idx="0">
                  <c:v>0.53959159199173856</c:v>
                </c:pt>
                <c:pt idx="1">
                  <c:v>0.66522961574507966</c:v>
                </c:pt>
                <c:pt idx="2">
                  <c:v>0.74045162402423104</c:v>
                </c:pt>
                <c:pt idx="3">
                  <c:v>0.74041811846689898</c:v>
                </c:pt>
                <c:pt idx="4">
                  <c:v>0.65557859027516019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904288"/>
        <c:axId val="252903896"/>
      </c:barChart>
      <c:lineChart>
        <c:grouping val="standard"/>
        <c:varyColors val="0"/>
        <c:ser>
          <c:idx val="0"/>
          <c:order val="2"/>
          <c:tx>
            <c:strRef>
              <c:f>'Ratio Analysis'!$B$31</c:f>
              <c:strCache>
                <c:ptCount val="1"/>
                <c:pt idx="0">
                  <c:v>   Return on Equity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C0504D"/>
                </a:solidFill>
              </a:ln>
            </c:spPr>
          </c:marker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Analysis'!$C$31:$G$31</c:f>
              <c:numCache>
                <c:formatCode>0.0%</c:formatCode>
                <c:ptCount val="5"/>
                <c:pt idx="0">
                  <c:v>0.10240274599542334</c:v>
                </c:pt>
                <c:pt idx="1">
                  <c:v>0.24944567627494457</c:v>
                </c:pt>
                <c:pt idx="2">
                  <c:v>0.38251959947217262</c:v>
                </c:pt>
                <c:pt idx="3">
                  <c:v>0.32403604836869726</c:v>
                </c:pt>
                <c:pt idx="4">
                  <c:v>0.1820671760126856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'Ratio Analysis'!$B$30</c:f>
              <c:strCache>
                <c:ptCount val="1"/>
                <c:pt idx="0">
                  <c:v>   Return on Assets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'Ratio Analysis'!$C$7:$G$7</c:f>
              <c:strCache>
                <c:ptCount val="5"/>
                <c:pt idx="0">
                  <c:v>2009-12</c:v>
                </c:pt>
                <c:pt idx="1">
                  <c:v>2010-12</c:v>
                </c:pt>
                <c:pt idx="2">
                  <c:v>2011-12</c:v>
                </c:pt>
                <c:pt idx="3">
                  <c:v>2012-12</c:v>
                </c:pt>
                <c:pt idx="4">
                  <c:v>2013-12</c:v>
                </c:pt>
              </c:strCache>
            </c:strRef>
          </c:cat>
          <c:val>
            <c:numRef>
              <c:f>'Ratio Analysis'!$C$30:$G$30</c:f>
              <c:numCache>
                <c:formatCode>0.0%</c:formatCode>
                <c:ptCount val="5"/>
                <c:pt idx="0">
                  <c:v>1.4907225423898197E-2</c:v>
                </c:pt>
                <c:pt idx="1">
                  <c:v>4.2174320524835988E-2</c:v>
                </c:pt>
                <c:pt idx="2">
                  <c:v>6.0676204782191143E-2</c:v>
                </c:pt>
                <c:pt idx="3">
                  <c:v>6.3852984151961334E-2</c:v>
                </c:pt>
                <c:pt idx="4">
                  <c:v>4.46310780248775E-2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03112"/>
        <c:axId val="252903504"/>
      </c:lineChart>
      <c:catAx>
        <c:axId val="252903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52903504"/>
        <c:crosses val="autoZero"/>
        <c:auto val="1"/>
        <c:lblAlgn val="ctr"/>
        <c:lblOffset val="100"/>
        <c:noMultiLvlLbl val="0"/>
      </c:catAx>
      <c:valAx>
        <c:axId val="252903504"/>
        <c:scaling>
          <c:orientation val="minMax"/>
          <c:max val="1"/>
          <c:min val="0"/>
        </c:scaling>
        <c:delete val="0"/>
        <c:axPos val="r"/>
        <c:majorGridlines/>
        <c:numFmt formatCode="0.0%" sourceLinked="1"/>
        <c:majorTickMark val="out"/>
        <c:minorTickMark val="none"/>
        <c:tickLblPos val="nextTo"/>
        <c:crossAx val="252903112"/>
        <c:crosses val="max"/>
        <c:crossBetween val="between"/>
        <c:majorUnit val="0.2"/>
      </c:valAx>
      <c:valAx>
        <c:axId val="2529038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52904288"/>
        <c:crosses val="autoZero"/>
        <c:crossBetween val="between"/>
      </c:valAx>
      <c:catAx>
        <c:axId val="25290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290389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6.6760167455075792E-2"/>
          <c:y val="0.84241348444161246"/>
          <c:w val="0.84797174825315746"/>
          <c:h val="0.13686805504452129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solidFill>
        <a:schemeClr val="bg1">
          <a:lumMod val="50000"/>
        </a:schemeClr>
      </a:solidFill>
    </a:ln>
  </c:spPr>
  <c:txPr>
    <a:bodyPr/>
    <a:lstStyle/>
    <a:p>
      <a:pPr>
        <a:defRPr sz="1050">
          <a:latin typeface="Cambria" panose="02040503050406030204" pitchFamily="18" charset="0"/>
        </a:defRPr>
      </a:pPr>
      <a:endParaRPr lang="en-U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43</xdr:row>
      <xdr:rowOff>19050</xdr:rowOff>
    </xdr:from>
    <xdr:to>
      <xdr:col>8</xdr:col>
      <xdr:colOff>581025</xdr:colOff>
      <xdr:row>62</xdr:row>
      <xdr:rowOff>28575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0</xdr:row>
      <xdr:rowOff>47625</xdr:rowOff>
    </xdr:from>
    <xdr:to>
      <xdr:col>9</xdr:col>
      <xdr:colOff>57150</xdr:colOff>
      <xdr:row>20</xdr:row>
      <xdr:rowOff>104775</xdr:rowOff>
    </xdr:to>
    <xdr:graphicFrame macro="">
      <xdr:nvGraphicFramePr>
        <xdr:cNvPr id="411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0</xdr:row>
      <xdr:rowOff>47625</xdr:rowOff>
    </xdr:from>
    <xdr:to>
      <xdr:col>18</xdr:col>
      <xdr:colOff>104775</xdr:colOff>
      <xdr:row>21</xdr:row>
      <xdr:rowOff>28575</xdr:rowOff>
    </xdr:to>
    <xdr:graphicFrame macro="">
      <xdr:nvGraphicFramePr>
        <xdr:cNvPr id="411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38100</xdr:colOff>
      <xdr:row>0</xdr:row>
      <xdr:rowOff>19050</xdr:rowOff>
    </xdr:from>
    <xdr:to>
      <xdr:col>27</xdr:col>
      <xdr:colOff>19050</xdr:colOff>
      <xdr:row>21</xdr:row>
      <xdr:rowOff>0</xdr:rowOff>
    </xdr:to>
    <xdr:graphicFrame macro="">
      <xdr:nvGraphicFramePr>
        <xdr:cNvPr id="412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38100</xdr:colOff>
      <xdr:row>21</xdr:row>
      <xdr:rowOff>133350</xdr:rowOff>
    </xdr:from>
    <xdr:to>
      <xdr:col>9</xdr:col>
      <xdr:colOff>76200</xdr:colOff>
      <xdr:row>41</xdr:row>
      <xdr:rowOff>123825</xdr:rowOff>
    </xdr:to>
    <xdr:graphicFrame macro="">
      <xdr:nvGraphicFramePr>
        <xdr:cNvPr id="412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43</xdr:row>
      <xdr:rowOff>28575</xdr:rowOff>
    </xdr:from>
    <xdr:to>
      <xdr:col>18</xdr:col>
      <xdr:colOff>133350</xdr:colOff>
      <xdr:row>62</xdr:row>
      <xdr:rowOff>9525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22</xdr:row>
      <xdr:rowOff>66675</xdr:rowOff>
    </xdr:from>
    <xdr:to>
      <xdr:col>18</xdr:col>
      <xdr:colOff>161925</xdr:colOff>
      <xdr:row>42</xdr:row>
      <xdr:rowOff>19051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I34"/>
  <sheetViews>
    <sheetView tabSelected="1" workbookViewId="0">
      <selection activeCell="N27" sqref="N27"/>
    </sheetView>
  </sheetViews>
  <sheetFormatPr defaultRowHeight="12.75" x14ac:dyDescent="0.2"/>
  <cols>
    <col min="1" max="1" width="9.140625" style="1"/>
    <col min="2" max="2" width="25.85546875" style="1" customWidth="1"/>
    <col min="3" max="9" width="9.28515625" style="1" customWidth="1"/>
    <col min="10" max="16384" width="9.140625" style="1"/>
  </cols>
  <sheetData>
    <row r="2" spans="2:9" ht="21" x14ac:dyDescent="0.35">
      <c r="B2" s="51" t="s">
        <v>0</v>
      </c>
      <c r="C2" s="52"/>
      <c r="D2" s="52"/>
      <c r="E2" s="52"/>
      <c r="F2" s="52"/>
      <c r="G2" s="52"/>
      <c r="H2" s="52"/>
      <c r="I2" s="53"/>
    </row>
    <row r="3" spans="2:9" ht="15" x14ac:dyDescent="0.25">
      <c r="B3" s="5" t="s">
        <v>80</v>
      </c>
      <c r="C3" s="50"/>
      <c r="D3" s="50"/>
      <c r="E3" s="50"/>
      <c r="F3" s="50"/>
      <c r="G3" s="50"/>
      <c r="H3" s="50"/>
      <c r="I3" s="50"/>
    </row>
    <row r="4" spans="2:9" ht="15" x14ac:dyDescent="0.25">
      <c r="B4" s="5" t="s">
        <v>81</v>
      </c>
      <c r="C4" s="50"/>
      <c r="D4" s="50"/>
      <c r="E4" s="50"/>
      <c r="F4" s="50"/>
      <c r="G4" s="50"/>
      <c r="H4" s="50"/>
      <c r="I4" s="50"/>
    </row>
    <row r="5" spans="2:9" ht="15" x14ac:dyDescent="0.25">
      <c r="B5" s="5" t="s">
        <v>82</v>
      </c>
      <c r="C5" s="50"/>
      <c r="D5" s="50"/>
      <c r="E5" s="50"/>
      <c r="F5" s="50"/>
      <c r="G5" s="50"/>
      <c r="H5" s="50"/>
      <c r="I5" s="50"/>
    </row>
    <row r="6" spans="2:9" ht="15" x14ac:dyDescent="0.25">
      <c r="B6" s="5" t="s">
        <v>83</v>
      </c>
      <c r="C6" s="50"/>
      <c r="D6" s="50"/>
      <c r="E6" s="50"/>
      <c r="F6" s="50"/>
      <c r="G6" s="50"/>
      <c r="H6" s="50"/>
      <c r="I6" s="50"/>
    </row>
    <row r="7" spans="2:9" ht="15" x14ac:dyDescent="0.25">
      <c r="B7" s="11" t="s">
        <v>86</v>
      </c>
      <c r="C7" s="8" t="str">
        <f>'Income Statement'!B2</f>
        <v>2009-12</v>
      </c>
      <c r="D7" s="8" t="str">
        <f>'Income Statement'!C2</f>
        <v>2010-12</v>
      </c>
      <c r="E7" s="8" t="str">
        <f>'Income Statement'!D2</f>
        <v>2011-12</v>
      </c>
      <c r="F7" s="8" t="str">
        <f>'Income Statement'!E2</f>
        <v>2012-12</v>
      </c>
      <c r="G7" s="9" t="str">
        <f>'Income Statement'!F2</f>
        <v>2013-12</v>
      </c>
      <c r="H7" s="10" t="s">
        <v>84</v>
      </c>
      <c r="I7" s="10" t="s">
        <v>85</v>
      </c>
    </row>
    <row r="8" spans="2:9" ht="15" x14ac:dyDescent="0.25">
      <c r="B8" s="46" t="s">
        <v>1</v>
      </c>
      <c r="C8" s="47"/>
      <c r="D8" s="47"/>
      <c r="E8" s="47"/>
      <c r="F8" s="47"/>
      <c r="G8" s="47"/>
      <c r="H8" s="47"/>
      <c r="I8" s="48"/>
    </row>
    <row r="9" spans="2:9" ht="15" x14ac:dyDescent="0.25">
      <c r="B9" s="2" t="s">
        <v>87</v>
      </c>
      <c r="C9" s="38">
        <f>IFERROR((VLOOKUP("total current assets", 'Balance Sheet'!$A:$F, 2, FALSE)/(VLOOKUP("total current liabilities", 'Balance Sheet'!$A:$F, 2, FALSE))), "NA")</f>
        <v>1.434361001317523</v>
      </c>
      <c r="D9" s="38">
        <f>IFERROR((VLOOKUP("total current assets", 'Balance Sheet'!$A:$F, 3, FALSE)/(VLOOKUP("total current liabilities", 'Balance Sheet'!$A:$F, 3, FALSE))), "NA")</f>
        <v>1.4445958219800181</v>
      </c>
      <c r="E9" s="38">
        <f>IFERROR((VLOOKUP("total current assets", 'Balance Sheet'!$A:$F, 4, FALSE)/(VLOOKUP("total current liabilities", 'Balance Sheet'!$A:$F, 4, FALSE))), "NA")</f>
        <v>1.3365306626229856</v>
      </c>
      <c r="F9" s="38">
        <f>IFERROR((VLOOKUP("total current assets", 'Balance Sheet'!$A:$F, 5, FALSE)/(VLOOKUP("total current liabilities", 'Balance Sheet'!$A:$F, 5, FALSE))), "NA")</f>
        <v>1.4325344212136666</v>
      </c>
      <c r="G9" s="38">
        <f>IFERROR((VLOOKUP("total current assets", 'Balance Sheet'!$A:$F, 6, FALSE)/(VLOOKUP("total current liabilities", 'Balance Sheet'!$A:$F, 6, FALSE))), "NA")</f>
        <v>1.4043667802322599</v>
      </c>
      <c r="H9" s="38">
        <f>IF(E9="NA","NA",IF(F9="NA","NA",IF(G9="NA","NA",AVERAGE(E9:G9))))</f>
        <v>1.3911439546896374</v>
      </c>
      <c r="I9" s="35">
        <f>IF(C9="NA","NA",IF(D9="NA","NA",IF(E9="NA","NA",IF(F9="NA","NA",IF(G9="NA","NA",AVERAGE(C9:G9))))))</f>
        <v>1.4104777374732906</v>
      </c>
    </row>
    <row r="10" spans="2:9" ht="15" x14ac:dyDescent="0.25">
      <c r="B10" s="2" t="s">
        <v>88</v>
      </c>
      <c r="C10" s="38">
        <f>IFERROR((VLOOKUP("total current assets", 'Balance Sheet'!$A:$F, 2, FALSE)-VLOOKUP("Inventories", 'Balance Sheet'!$A:$F, 2, FALSE))/VLOOKUP("total current liabilities", 'Balance Sheet'!$A:$F, 2, FALSE), "NA")</f>
        <v>1.0991831357048749</v>
      </c>
      <c r="D10" s="38">
        <f>IFERROR((VLOOKUP("total current assets", 'Balance Sheet'!$A:$F, 3, FALSE)-VLOOKUP("Inventories", 'Balance Sheet'!$A:$F, 3, FALSE))/VLOOKUP("total current liabilities", 'Balance Sheet'!$A:$F, 3, FALSE), "NA")</f>
        <v>1.0092188919164395</v>
      </c>
      <c r="E10" s="38">
        <f>IFERROR((VLOOKUP("total current assets", 'Balance Sheet'!$A:$F, 4, FALSE)-VLOOKUP("Inventories", 'Balance Sheet'!$A:$F, 4, FALSE))/VLOOKUP("total current liabilities", 'Balance Sheet'!$A:$F, 4, FALSE), "NA")</f>
        <v>0.82364142892407521</v>
      </c>
      <c r="F10" s="38">
        <f>IFERROR((VLOOKUP("total current assets", 'Balance Sheet'!$A:$F, 5, FALSE)-VLOOKUP("Inventories", 'Balance Sheet'!$A:$F, 5, FALSE))/VLOOKUP("total current liabilities", 'Balance Sheet'!$A:$F, 5, FALSE), "NA")</f>
        <v>0.90399456059833416</v>
      </c>
      <c r="G10" s="38">
        <f>IFERROR((VLOOKUP("total current assets", 'Balance Sheet'!$A:$F, 6, FALSE)-VLOOKUP("Inventories", 'Balance Sheet'!$A:$F, 6, FALSE))/VLOOKUP("total current liabilities", 'Balance Sheet'!$A:$F, 6, FALSE), "NA")</f>
        <v>0.94186174304868664</v>
      </c>
      <c r="H10" s="38">
        <f>IF(E10="NA","NA",IF(F10="NA","NA",IF(G10="NA","NA",AVERAGE(E10:G10))))</f>
        <v>0.88983257752369871</v>
      </c>
      <c r="I10" s="39">
        <f>IF(C10="NA","NA",IF(D10="NA","NA",IF(E10="NA","NA",IF(F10="NA","NA",IF(G10="NA","NA",AVERAGE(C10:G10))))))</f>
        <v>0.95557995203848223</v>
      </c>
    </row>
    <row r="11" spans="2:9" ht="15" x14ac:dyDescent="0.25">
      <c r="B11" s="49" t="s">
        <v>2</v>
      </c>
      <c r="C11" s="49"/>
      <c r="D11" s="49"/>
      <c r="E11" s="49"/>
      <c r="F11" s="49"/>
      <c r="G11" s="49"/>
      <c r="H11" s="49"/>
      <c r="I11" s="49"/>
    </row>
    <row r="12" spans="2:9" ht="15" x14ac:dyDescent="0.25">
      <c r="B12" s="2" t="s">
        <v>89</v>
      </c>
      <c r="C12" s="37">
        <f>IFERROR((VLOOKUP("cost of revenue", 'Income Statement'!$A:$F, 2, FALSE)/VLOOKUP("inventories", 'Balance Sheet'!$A:$F, 2, FALSE)), "NA")</f>
        <v>3.7556603773584905</v>
      </c>
      <c r="D12" s="37">
        <f>IFERROR((VLOOKUP("cost of revenue", 'Income Statement'!$A:$F, 3, FALSE)/VLOOKUP("inventories", 'Balance Sheet'!$A:$F, 3, FALSE)), "NA")</f>
        <v>3.1675185146552622</v>
      </c>
      <c r="E12" s="37">
        <f>IFERROR((VLOOKUP("cost of revenue", 'Income Statement'!$A:$F, 4, FALSE)/VLOOKUP("inventories", 'Balance Sheet'!$A:$F, 4, FALSE)), "NA")</f>
        <v>2.9962871287128712</v>
      </c>
      <c r="F12" s="37">
        <f>IFERROR((VLOOKUP("cost of revenue", 'Income Statement'!$A:$F, 5, FALSE)/VLOOKUP("inventories", 'Balance Sheet'!$A:$F, 5, FALSE)), "NA")</f>
        <v>3.0266289316266803</v>
      </c>
      <c r="G12" s="37">
        <f>IFERROR((VLOOKUP("cost of revenue", 'Income Statement'!$A:$F, 6, FALSE)/VLOOKUP("inventories", 'Balance Sheet'!$A:$F, 6, FALSE)), "NA")</f>
        <v>3.2259009900990101</v>
      </c>
      <c r="H12" s="38">
        <f>IF(E12="NA","NA",IF(F12="NA","NA",IF(G12="NA","NA",AVERAGE(E12:G12))))</f>
        <v>3.0829390168128534</v>
      </c>
      <c r="I12" s="35">
        <f>IF(C12="NA","NA",IF(D12="NA","NA",IF(E12="NA","NA",IF(F12="NA","NA",IF(G12="NA","NA",AVERAGE(C12:G12))))))</f>
        <v>3.2343991884904626</v>
      </c>
    </row>
    <row r="13" spans="2:9" ht="15" x14ac:dyDescent="0.25">
      <c r="B13" s="2" t="s">
        <v>90</v>
      </c>
      <c r="C13" s="37">
        <f>IFERROR((VLOOKUP("revenue", 'Income Statement'!$A:$F, 2, FALSE)/VLOOKUP("receivables", 'Balance Sheet'!$A:$F, 2, FALSE)), "NA")</f>
        <v>5.7736588843343428</v>
      </c>
      <c r="D13" s="37">
        <f>IFERROR((VLOOKUP("revenue", 'Income Statement'!$A:$F, 3, FALSE)/VLOOKUP("receivables", 'Balance Sheet'!$A:$F, 3, FALSE)), "NA")</f>
        <v>2.5362077179609339</v>
      </c>
      <c r="E13" s="37">
        <f>IFERROR((VLOOKUP("revenue", 'Income Statement'!$A:$F, 4, FALSE)/VLOOKUP("receivables", 'Balance Sheet'!$A:$F, 4, FALSE)), "NA")</f>
        <v>3.3928349788434415</v>
      </c>
      <c r="F13" s="37">
        <f>IFERROR((VLOOKUP("revenue", 'Income Statement'!$A:$F, 5, FALSE)/VLOOKUP("receivables", 'Balance Sheet'!$A:$F, 5, FALSE)), "NA")</f>
        <v>3.5481525368954001</v>
      </c>
      <c r="G13" s="37">
        <f>IFERROR((VLOOKUP("revenue", 'Income Statement'!$A:$F, 6, FALSE)/VLOOKUP("receivables", 'Balance Sheet'!$A:$F, 6, FALSE)), "NA")</f>
        <v>3.2403353516534699</v>
      </c>
      <c r="H13" s="38">
        <f>IF(E13="NA","NA",IF(F13="NA","NA",IF(G13="NA","NA",AVERAGE(E13:G13))))</f>
        <v>3.3937742891307701</v>
      </c>
      <c r="I13" s="39">
        <f>IF(C13="NA","NA",IF(D13="NA","NA",IF(E13="NA","NA",IF(F13="NA","NA",IF(G13="NA","NA",AVERAGE(C13:G13))))))</f>
        <v>3.698237893937518</v>
      </c>
    </row>
    <row r="14" spans="2:9" ht="15" x14ac:dyDescent="0.25">
      <c r="B14" s="3" t="s">
        <v>91</v>
      </c>
      <c r="C14" s="37">
        <f>IFERROR(365/C13, "NA")</f>
        <v>63.218144215335229</v>
      </c>
      <c r="D14" s="37">
        <f>IFERROR(365/D13, "NA")</f>
        <v>143.91565699258007</v>
      </c>
      <c r="E14" s="37">
        <f>IFERROR(365/E13, "NA")</f>
        <v>107.57965013801589</v>
      </c>
      <c r="F14" s="37">
        <f>IFERROR(365/F13, "NA")</f>
        <v>102.87043643263758</v>
      </c>
      <c r="G14" s="37">
        <f>IFERROR(365/G13, "NA")</f>
        <v>112.64266206698289</v>
      </c>
      <c r="H14" s="38">
        <f>IF(E14="NA","NA",IF(F14="NA","NA",IF(G14="NA","NA",AVERAGE(E14:G14))))</f>
        <v>107.69758287921212</v>
      </c>
      <c r="I14" s="39">
        <f>IF(C14="NA","NA",IF(D14="NA","NA",IF(E14="NA","NA",IF(F14="NA","NA",IF(G14="NA","NA",AVERAGE(C14:G14))))))</f>
        <v>106.04530996911032</v>
      </c>
    </row>
    <row r="15" spans="2:9" ht="15" x14ac:dyDescent="0.25">
      <c r="B15" s="2" t="s">
        <v>92</v>
      </c>
      <c r="C15" s="37">
        <f>IFERROR((VLOOKUP("revenue", 'Income Statement'!$A:$F, 2, FALSE)/VLOOKUP("net property, plant and equipment", 'Balance Sheet'!$A:$F, 2, FALSE)), "NA")</f>
        <v>2.6155336670434362</v>
      </c>
      <c r="D15" s="37">
        <f>IFERROR((VLOOKUP("revenue", 'Income Statement'!$A:$F, 3, FALSE)/VLOOKUP("net property, plant and equipment", 'Balance Sheet'!$A:$F, 3, FALSE)), "NA")</f>
        <v>3.3964430975356885</v>
      </c>
      <c r="E15" s="37">
        <f>IFERROR((VLOOKUP("revenue", 'Income Statement'!$A:$F, 4, FALSE)/VLOOKUP("net property, plant and equipment", 'Balance Sheet'!$A:$F, 4, FALSE)), "NA")</f>
        <v>4.1777005904828064</v>
      </c>
      <c r="F15" s="37">
        <f>IFERROR((VLOOKUP("revenue", 'Income Statement'!$A:$F, 5, FALSE)/VLOOKUP("net property, plant and equipment", 'Balance Sheet'!$A:$F, 5, FALSE)), "NA")</f>
        <v>4.0018832391713746</v>
      </c>
      <c r="G15" s="37">
        <f>IFERROR((VLOOKUP("revenue", 'Income Statement'!$A:$F, 6, FALSE)/VLOOKUP("net property, plant and equipment", 'Balance Sheet'!$A:$F, 6, FALSE)), "NA")</f>
        <v>3.2595021961932651</v>
      </c>
      <c r="H15" s="38">
        <f>IF(E15="NA","NA",IF(F15="NA","NA",IF(G15="NA","NA",AVERAGE(E15:G15))))</f>
        <v>3.813028675282482</v>
      </c>
      <c r="I15" s="39">
        <f>IF(C15="NA","NA",IF(D15="NA","NA",IF(E15="NA","NA",IF(F15="NA","NA",IF(G15="NA","NA",AVERAGE(C15:G15))))))</f>
        <v>3.4902125580853136</v>
      </c>
    </row>
    <row r="16" spans="2:9" ht="15" x14ac:dyDescent="0.25">
      <c r="B16" s="2" t="s">
        <v>93</v>
      </c>
      <c r="C16" s="37">
        <f>IFERROR((VLOOKUP("revenue", 'Income Statement'!$A:$F, 2, FALSE)/VLOOKUP("total assets", 'Balance Sheet'!$A:$F, 2, FALSE)), "NA")</f>
        <v>0.53959159199173856</v>
      </c>
      <c r="D16" s="37">
        <f>IFERROR((VLOOKUP("revenue", 'Income Statement'!$A:$F, 3, FALSE)/VLOOKUP("total assets", 'Balance Sheet'!$A:$F, 3, FALSE)), "NA")</f>
        <v>0.66522961574507966</v>
      </c>
      <c r="E16" s="37">
        <f>IFERROR((VLOOKUP("revenue", 'Income Statement'!$A:$F, 4, FALSE)/VLOOKUP("total assets", 'Balance Sheet'!$A:$F, 4, FALSE)), "NA")</f>
        <v>0.74045162402423104</v>
      </c>
      <c r="F16" s="37">
        <f>IFERROR((VLOOKUP("revenue", 'Income Statement'!$A:$F, 5, FALSE)/VLOOKUP("total assets", 'Balance Sheet'!$A:$F, 5, FALSE)), "NA")</f>
        <v>0.74041811846689898</v>
      </c>
      <c r="G16" s="37">
        <f>IFERROR((VLOOKUP("revenue", 'Income Statement'!$A:$F, 6, FALSE)/VLOOKUP("total assets", 'Balance Sheet'!$A:$F, 6, FALSE)), "NA")</f>
        <v>0.65557859027516019</v>
      </c>
      <c r="H16" s="38">
        <f>IF(E16="NA","NA",IF(F16="NA","NA",IF(G16="NA","NA",AVERAGE(E16:G16))))</f>
        <v>0.71214944425543003</v>
      </c>
      <c r="I16" s="36">
        <f>IF(C16="NA","NA",IF(D16="NA","NA",IF(E16="NA","NA",IF(F16="NA","NA",IF(G16="NA","NA",AVERAGE(C16:G16))))))</f>
        <v>0.66825390810062169</v>
      </c>
    </row>
    <row r="17" spans="2:9" ht="15" x14ac:dyDescent="0.25">
      <c r="B17" s="49" t="s">
        <v>3</v>
      </c>
      <c r="C17" s="49"/>
      <c r="D17" s="49"/>
      <c r="E17" s="49"/>
      <c r="F17" s="49"/>
      <c r="G17" s="49"/>
      <c r="H17" s="49"/>
      <c r="I17" s="49"/>
    </row>
    <row r="18" spans="2:9" ht="15" x14ac:dyDescent="0.25">
      <c r="B18" s="2" t="s">
        <v>104</v>
      </c>
      <c r="C18" s="40">
        <f>IFERROR((VLOOKUP("total liabilities", 'Balance Sheet'!$A:$F, 2, FALSE)/VLOOKUP("total assets", 'Balance Sheet'!$A:$F, 2, FALSE)), "NA")</f>
        <v>0.8544255304973517</v>
      </c>
      <c r="D18" s="40">
        <f>IFERROR((VLOOKUP("total liabilities", 'Balance Sheet'!$A:$F, 3, FALSE)/VLOOKUP("total assets", 'Balance Sheet'!$A:$F, 3, FALSE)), "NA")</f>
        <v>0.83092783505154644</v>
      </c>
      <c r="E18" s="40">
        <f>IFERROR((VLOOKUP("total liabilities", 'Balance Sheet'!$A:$F, 4, FALSE)/VLOOKUP("total assets", 'Balance Sheet'!$A:$F, 4, FALSE)), "NA")</f>
        <v>0.84137752714915415</v>
      </c>
      <c r="F18" s="40">
        <f>IFERROR((VLOOKUP("total liabilities", 'Balance Sheet'!$A:$F, 5, FALSE)/VLOOKUP("total assets", 'Balance Sheet'!$A:$F, 5, FALSE)), "NA")</f>
        <v>0.8029448128582668</v>
      </c>
      <c r="G18" s="40">
        <f>IFERROR((VLOOKUP("total liabilities", 'Balance Sheet'!$A:$F, 6, FALSE)/VLOOKUP("total assets", 'Balance Sheet'!$A:$F, 6, FALSE)), "NA")</f>
        <v>0.75486477572559363</v>
      </c>
      <c r="H18" s="40">
        <f>IF(E18="NA","NA",IF(F18="NA","NA",IF(G18="NA","NA",AVERAGE(E18:G18))))</f>
        <v>0.79972903857767152</v>
      </c>
      <c r="I18" s="41">
        <f>IF(C18="NA","NA",IF(D18="NA","NA",IF(E18="NA","NA",IF(F18="NA","NA",IF(G18="NA","NA",AVERAGE(C18:G18))))))</f>
        <v>0.8169080962563825</v>
      </c>
    </row>
    <row r="19" spans="2:9" ht="15" x14ac:dyDescent="0.25">
      <c r="B19" s="2" t="s">
        <v>94</v>
      </c>
      <c r="C19" s="40">
        <f>IFERROR((VLOOKUP("long-term debt", 'Balance Sheet'!$A:$F, 2, FALSE)/VLOOKUP("total assets", 'Balance Sheet'!$A:$F, 2, FALSE)), "NA")</f>
        <v>0.36388620540324462</v>
      </c>
      <c r="D19" s="40">
        <f>IFERROR((VLOOKUP("long-term debt", 'Balance Sheet'!$A:$F, 3, FALSE)/VLOOKUP("total assets", 'Balance Sheet'!$A:$F, 3, FALSE)), "NA")</f>
        <v>0.31922836613558264</v>
      </c>
      <c r="E19" s="40">
        <f>IFERROR((VLOOKUP("long-term debt", 'Balance Sheet'!$A:$F, 4, FALSE)/VLOOKUP("total assets", 'Balance Sheet'!$A:$F, 4, FALSE)), "NA")</f>
        <v>0.30712403654362336</v>
      </c>
      <c r="F19" s="40">
        <f>IFERROR((VLOOKUP("long-term debt", 'Balance Sheet'!$A:$F, 5, FALSE)/VLOOKUP("total assets", 'Balance Sheet'!$A:$F, 5, FALSE)), "NA")</f>
        <v>0.31192536810160726</v>
      </c>
      <c r="G19" s="40">
        <f>IFERROR((VLOOKUP("long-term debt", 'Balance Sheet'!$A:$F, 6, FALSE)/VLOOKUP("total assets", 'Balance Sheet'!$A:$F, 6, FALSE)), "NA")</f>
        <v>0.31472625329815301</v>
      </c>
      <c r="H19" s="40">
        <f>IF(E19="NA","NA",IF(F19="NA","NA",IF(G19="NA","NA",AVERAGE(E19:G19))))</f>
        <v>0.31125855264779451</v>
      </c>
      <c r="I19" s="42">
        <f>IF(C19="NA","NA",IF(D19="NA","NA",IF(E19="NA","NA",IF(F19="NA","NA",IF(G19="NA","NA",AVERAGE(C19:G19))))))</f>
        <v>0.32337804589644215</v>
      </c>
    </row>
    <row r="20" spans="2:9" ht="15" x14ac:dyDescent="0.25">
      <c r="B20" s="3" t="s">
        <v>95</v>
      </c>
      <c r="C20" s="40">
        <f>IFERROR((VLOOKUP("total liabilities", 'Balance Sheet'!$A:$F, 2, FALSE)/VLOOKUP("total stockholders' equity", 'Balance Sheet'!$A:$F, 2, FALSE)), "NA")</f>
        <v>5.8693363844393591</v>
      </c>
      <c r="D20" s="40">
        <f>IFERROR((VLOOKUP("total liabilities", 'Balance Sheet'!$A:$F, 3, FALSE)/VLOOKUP("total stockholders' equity", 'Balance Sheet'!$A:$F, 3, FALSE)), "NA")</f>
        <v>4.9146341463414638</v>
      </c>
      <c r="E20" s="40">
        <f>IFERROR((VLOOKUP("total liabilities", 'Balance Sheet'!$A:$F, 4, FALSE)/VLOOKUP("total stockholders' equity", 'Balance Sheet'!$A:$F, 4, FALSE)), "NA")</f>
        <v>5.3042769541255916</v>
      </c>
      <c r="F20" s="40">
        <f>IFERROR((VLOOKUP("total liabilities", 'Balance Sheet'!$A:$F, 5, FALSE)/VLOOKUP("total stockholders' equity", 'Balance Sheet'!$A:$F, 5, FALSE)), "NA")</f>
        <v>4.0747205110654798</v>
      </c>
      <c r="G20" s="40">
        <f>IFERROR((VLOOKUP("total liabilities", 'Balance Sheet'!$A:$F, 6, FALSE)/VLOOKUP("total stockholders' equity", 'Balance Sheet'!$A:$F, 6, FALSE)), "NA")</f>
        <v>3.079381096535486</v>
      </c>
      <c r="H20" s="40">
        <f>IF(E20="NA","NA",IF(F20="NA","NA",IF(G20="NA","NA",AVERAGE(E20:G20))))</f>
        <v>4.1527928539088528</v>
      </c>
      <c r="I20" s="42">
        <f>IF(C20="NA","NA",IF(D20="NA","NA",IF(E20="NA","NA",IF(F20="NA","NA",IF(G20="NA","NA",AVERAGE(C20:G20))))))</f>
        <v>4.6484698185014759</v>
      </c>
    </row>
    <row r="21" spans="2:9" ht="15" x14ac:dyDescent="0.25">
      <c r="B21" s="3" t="s">
        <v>96</v>
      </c>
      <c r="C21" s="40">
        <f>IFERROR((VLOOKUP("long-term debt", 'Balance Sheet'!$A:$F, 2, FALSE)/VLOOKUP("total stockholders' equity", 'Balance Sheet'!$A:$F, 2, FALSE)), "NA")</f>
        <v>2.4996567505720826</v>
      </c>
      <c r="D21" s="40">
        <f>IFERROR((VLOOKUP("long-term debt", 'Balance Sheet'!$A:$F, 3, FALSE)/VLOOKUP("total stockholders' equity", 'Balance Sheet'!$A:$F, 3, FALSE)), "NA")</f>
        <v>1.888118994826312</v>
      </c>
      <c r="E21" s="40">
        <f>IFERROR((VLOOKUP("long-term debt", 'Balance Sheet'!$A:$F, 4, FALSE)/VLOOKUP("total stockholders' equity", 'Balance Sheet'!$A:$F, 4, FALSE)), "NA")</f>
        <v>1.9361949856399907</v>
      </c>
      <c r="F21" s="40">
        <f>IFERROR((VLOOKUP("long-term debt", 'Balance Sheet'!$A:$F, 5, FALSE)/VLOOKUP("total stockholders' equity", 'Balance Sheet'!$A:$F, 5, FALSE)), "NA")</f>
        <v>1.5829340634268765</v>
      </c>
      <c r="G21" s="40">
        <f>IFERROR((VLOOKUP("long-term debt", 'Balance Sheet'!$A:$F, 6, FALSE)/VLOOKUP("total stockholders' equity", 'Balance Sheet'!$A:$F, 6, FALSE)), "NA")</f>
        <v>1.2838883282879248</v>
      </c>
      <c r="H21" s="40">
        <f>IF(E21="NA","NA",IF(F21="NA","NA",IF(G21="NA","NA",AVERAGE(E21:G21))))</f>
        <v>1.6010057924515975</v>
      </c>
      <c r="I21" s="42">
        <f>IF(C21="NA","NA",IF(D21="NA","NA",IF(E21="NA","NA",IF(F21="NA","NA",IF(G21="NA","NA",AVERAGE(C21:G21))))))</f>
        <v>1.8381586245506374</v>
      </c>
    </row>
    <row r="22" spans="2:9" ht="15" x14ac:dyDescent="0.25">
      <c r="B22" s="3" t="s">
        <v>106</v>
      </c>
      <c r="C22" s="43">
        <f>IFERROR((VLOOKUP("total assets", 'Balance Sheet'!$A:$F, 2, FALSE)/VLOOKUP("total stockholders' equity", 'Balance Sheet'!$A:$F, 2, FALSE)), "NA")</f>
        <v>6.8693363844393591</v>
      </c>
      <c r="D22" s="43">
        <f>IFERROR((VLOOKUP("total assets", 'Balance Sheet'!$A:$F, 3, FALSE)/VLOOKUP("total stockholders' equity", 'Balance Sheet'!$A:$F, 3, FALSE)), "NA")</f>
        <v>5.9146341463414638</v>
      </c>
      <c r="E22" s="43">
        <f>IFERROR((VLOOKUP("total assets", 'Balance Sheet'!$A:$F, 4, FALSE)/VLOOKUP("total stockholders' equity", 'Balance Sheet'!$A:$F, 4, FALSE)), "NA")</f>
        <v>6.3042769541255916</v>
      </c>
      <c r="F22" s="43">
        <f>IFERROR((VLOOKUP("total assets", 'Balance Sheet'!$A:$F, 5, FALSE)/VLOOKUP("total stockholders' equity", 'Balance Sheet'!$A:$F, 5, FALSE)), "NA")</f>
        <v>5.0747205110654798</v>
      </c>
      <c r="G22" s="43">
        <f>IFERROR((VLOOKUP("total assets", 'Balance Sheet'!$A:$F, 6, FALSE)/VLOOKUP("total stockholders' equity", 'Balance Sheet'!$A:$F, 6, FALSE)), "NA")</f>
        <v>4.079381096535486</v>
      </c>
      <c r="H22" s="34">
        <f>IF(E22="NA","NA",IF(F22="NA","NA",IF(G22="NA","NA",AVERAGE(E22:G22))))</f>
        <v>5.1527928539088528</v>
      </c>
      <c r="I22" s="36">
        <f>IF(C22="NA","NA",IF(D22="NA","NA",IF(E22="NA","NA",IF(F22="NA","NA",IF(G22="NA","NA",AVERAGE(C22:G22))))))</f>
        <v>5.6484698185014759</v>
      </c>
    </row>
    <row r="23" spans="2:9" ht="15" x14ac:dyDescent="0.25">
      <c r="B23" s="49" t="s">
        <v>4</v>
      </c>
      <c r="C23" s="49"/>
      <c r="D23" s="49"/>
      <c r="E23" s="49"/>
      <c r="F23" s="49"/>
      <c r="G23" s="49"/>
      <c r="H23" s="49"/>
      <c r="I23" s="49"/>
    </row>
    <row r="24" spans="2:9" ht="15" x14ac:dyDescent="0.25">
      <c r="B24" s="2" t="s">
        <v>97</v>
      </c>
      <c r="C24" s="37">
        <f>IFERROR((VLOOKUP("operating income", 'Income Statement'!$A:$F, 2, FALSE)/VLOOKUP("interest expense", 'Income Statement'!$A:$F, 2, FALSE)), "NA")</f>
        <v>1.4832904884318765</v>
      </c>
      <c r="D24" s="37">
        <f>IFERROR((VLOOKUP("operating income", 'Income Statement'!$A:$F, 3, FALSE)/VLOOKUP("interest expense", 'Income Statement'!$A:$F, 3, FALSE)), "NA")</f>
        <v>11.553935860058308</v>
      </c>
      <c r="E24" s="37">
        <f>IFERROR((VLOOKUP("operating income", 'Income Statement'!$A:$F, 4, FALSE)/VLOOKUP("interest expense", 'Income Statement'!$A:$F, 4, FALSE)), "NA")</f>
        <v>18.063131313131311</v>
      </c>
      <c r="F24" s="37">
        <f>IFERROR((VLOOKUP("operating income", 'Income Statement'!$A:$F, 5, FALSE)/VLOOKUP("interest expense", 'Income Statement'!$A:$F, 5, FALSE)), "NA")</f>
        <v>18.357601713062099</v>
      </c>
      <c r="G24" s="7">
        <f>IFERROR((VLOOKUP("operating income", 'Income Statement'!$A:$F, 6, FALSE)/VLOOKUP("interest expense", 'Income Statement'!$A:$F, 6, FALSE)), "NA")</f>
        <v>12.103225806451613</v>
      </c>
      <c r="H24" s="34">
        <f>IF(E24="NA","NA",IF(F24="NA","NA",IF(G24="NA","NA",AVERAGE(E24:G24))))</f>
        <v>16.174652944215008</v>
      </c>
      <c r="I24" s="35">
        <f>IF(C24="NA","NA",IF(D24="NA","NA",IF(E24="NA","NA",IF(F24="NA","NA",IF(G24="NA","NA",AVERAGE(C24:G24))))))</f>
        <v>12.312237036227042</v>
      </c>
    </row>
    <row r="25" spans="2:9" ht="15" x14ac:dyDescent="0.25">
      <c r="B25" s="2" t="s">
        <v>98</v>
      </c>
      <c r="C25" s="37">
        <f>IFERROR(((VLOOKUP("operating income",'Income Statement'!$A:$F,2,FALSE)+VLOOKUP("depreciation &amp; amortization",'Cash Flow Statement'!$A:$F,2,FALSE))/VLOOKUP("interest expense",'Income Statement'!$A:$F,2,FALSE)), "NA")</f>
        <v>7.4884318766066835</v>
      </c>
      <c r="D25" s="37">
        <f>IFERROR(((VLOOKUP("operating income",'Income Statement'!$A:$F,3,FALSE)+VLOOKUP("depreciation &amp; amortization",'Cash Flow Statement'!$A:$F,3,FALSE))/VLOOKUP("interest expense",'Income Statement'!$A:$F,3,FALSE)), "NA")</f>
        <v>18.247813411078717</v>
      </c>
      <c r="E25" s="37">
        <f>IFERROR(((VLOOKUP("operating income",'Income Statement'!$A:$F,4,FALSE)+VLOOKUP("depreciation &amp; amortization",'Cash Flow Statement'!$A:$F,4,FALSE))/VLOOKUP("interest expense",'Income Statement'!$A:$F,4,FALSE)), "NA")</f>
        <v>24.444444444444443</v>
      </c>
      <c r="F25" s="37">
        <f>IFERROR(((VLOOKUP("operating income",'Income Statement'!$A:$F,5,FALSE)+VLOOKUP("depreciation &amp; amortization",'Cash Flow Statement'!$A:$F,5,FALSE))/VLOOKUP("interest expense",'Income Statement'!$A:$F,5,FALSE)), "NA")</f>
        <v>24.381156316916488</v>
      </c>
      <c r="G25" s="7">
        <f>IFERROR(((VLOOKUP("operating income",'Income Statement'!$A:$F,6,FALSE)+VLOOKUP("depreciation &amp; amortization",'Cash Flow Statement'!$A:$F,6,FALSE))/VLOOKUP("interest expense",'Income Statement'!$A:$F,6,FALSE)), "NA")</f>
        <v>18.741935483870968</v>
      </c>
      <c r="H25" s="34">
        <f>IF(E25="NA","NA",IF(F25="NA","NA",IF(G25="NA","NA",AVERAGE(E25:G25))))</f>
        <v>22.522512081743969</v>
      </c>
      <c r="I25" s="36">
        <f>IF(C25="NA","NA",IF(D25="NA","NA",IF(E25="NA","NA",IF(F25="NA","NA",IF(G25="NA","NA",AVERAGE(C25:G25))))))</f>
        <v>18.660756306583458</v>
      </c>
    </row>
    <row r="26" spans="2:9" ht="15" x14ac:dyDescent="0.25">
      <c r="B26" s="49" t="s">
        <v>5</v>
      </c>
      <c r="C26" s="49"/>
      <c r="D26" s="49"/>
      <c r="E26" s="49"/>
      <c r="F26" s="49"/>
      <c r="G26" s="49"/>
      <c r="H26" s="49"/>
      <c r="I26" s="49"/>
    </row>
    <row r="27" spans="2:9" ht="15" x14ac:dyDescent="0.25">
      <c r="B27" s="2" t="s">
        <v>99</v>
      </c>
      <c r="C27" s="40">
        <f>IFERROR((VLOOKUP("revenue", 'Income Statement'!$A:$F, 2, FALSE)-VLOOKUP("cost of revenue", 'Income Statement'!$A:$F, 2, FALSE))/VLOOKUP("revenue", 'Income Statement'!$A:$F, 2, FALSE), "NA")</f>
        <v>0.2626867514507964</v>
      </c>
      <c r="D27" s="40">
        <f>IFERROR((VLOOKUP("revenue", 'Income Statement'!$A:$F, 3, FALSE)-VLOOKUP("cost of revenue", 'Income Statement'!$A:$F, 3, FALSE))/VLOOKUP("revenue", 'Income Statement'!$A:$F, 3, FALSE), "NA")</f>
        <v>0.2869587677279985</v>
      </c>
      <c r="E27" s="40">
        <f>IFERROR((VLOOKUP("revenue", 'Income Statement'!$A:$F, 4, FALSE)-VLOOKUP("cost of revenue", 'Income Statement'!$A:$F, 4, FALSE))/VLOOKUP("revenue", 'Income Statement'!$A:$F, 4, FALSE), "NA")</f>
        <v>0.27536665668961391</v>
      </c>
      <c r="F27" s="40">
        <f>IFERROR((VLOOKUP("revenue", 'Income Statement'!$A:$F, 5, FALSE)-VLOOKUP("cost of revenue", 'Income Statement'!$A:$F, 5, FALSE))/VLOOKUP("revenue", 'Income Statement'!$A:$F, 5, FALSE), "NA")</f>
        <v>0.28569259962049337</v>
      </c>
      <c r="G27" s="40">
        <f>IFERROR((VLOOKUP("revenue", 'Income Statement'!$A:$F, 6, FALSE)-VLOOKUP("cost of revenue", 'Income Statement'!$A:$F, 6, FALSE))/VLOOKUP("revenue", 'Income Statement'!$A:$F, 6, FALSE), "NA")</f>
        <v>0.26823702745436251</v>
      </c>
      <c r="H27" s="40">
        <f>IF(E27="NA","NA",IF(F27="NA","NA",IF(G27="NA","NA",AVERAGE(E27:G27))))</f>
        <v>0.2764320945881566</v>
      </c>
      <c r="I27" s="41">
        <f>IF(C27="NA","NA",IF(D27="NA","NA",IF(E27="NA","NA",IF(F27="NA","NA",IF(G27="NA","NA",AVERAGE(C27:G27))))))</f>
        <v>0.27578836058865291</v>
      </c>
    </row>
    <row r="28" spans="2:9" ht="15" x14ac:dyDescent="0.25">
      <c r="B28" s="2" t="s">
        <v>100</v>
      </c>
      <c r="C28" s="40">
        <f>IFERROR((VLOOKUP("operating income", 'Income Statement'!$A:$F, 2, FALSE)/VLOOKUP("revenue", 'Income Statement'!$A:$F, 2, FALSE)), "NA")</f>
        <v>1.781084084454871E-2</v>
      </c>
      <c r="D28" s="40">
        <f>IFERROR((VLOOKUP("operating income", 'Income Statement'!$A:$F, 3, FALSE)/VLOOKUP("revenue", 'Income Statement'!$A:$F, 3, FALSE)), "NA")</f>
        <v>9.3054381515919979E-2</v>
      </c>
      <c r="E28" s="40">
        <f>IFERROR((VLOOKUP("operating income", 'Income Statement'!$A:$F, 4, FALSE)/VLOOKUP("revenue", 'Income Statement'!$A:$F, 4, FALSE)), "NA")</f>
        <v>0.11894309754231933</v>
      </c>
      <c r="F28" s="40">
        <f>IFERROR((VLOOKUP("operating income", 'Income Statement'!$A:$F, 5, FALSE)/VLOOKUP("revenue", 'Income Statement'!$A:$F, 5, FALSE)), "NA")</f>
        <v>0.13014041745730551</v>
      </c>
      <c r="G28" s="40">
        <f>IFERROR((VLOOKUP("operating income", 'Income Statement'!$A:$F, 6, FALSE)/VLOOKUP("revenue", 'Income Statement'!$A:$F, 6, FALSE)), "NA")</f>
        <v>0.10112117291936179</v>
      </c>
      <c r="H28" s="40">
        <f>IF(E28="NA","NA",IF(F28="NA","NA",IF(G28="NA","NA",AVERAGE(E28:G28))))</f>
        <v>0.11673489597299554</v>
      </c>
      <c r="I28" s="42">
        <f>IF(C28="NA","NA",IF(D28="NA","NA",IF(E28="NA","NA",IF(F28="NA","NA",IF(G28="NA","NA",AVERAGE(C28:G28))))))</f>
        <v>9.2213982055891069E-2</v>
      </c>
    </row>
    <row r="29" spans="2:9" ht="15" x14ac:dyDescent="0.25">
      <c r="B29" s="2" t="s">
        <v>101</v>
      </c>
      <c r="C29" s="40">
        <f>IFERROR((VLOOKUP("net income", 'Income Statement'!$A:$F, 2, FALSE)/VLOOKUP("revenue", 'Income Statement'!$A:$F, 2, FALSE)), "NA")</f>
        <v>2.7626867514507963E-2</v>
      </c>
      <c r="D29" s="40">
        <f>IFERROR((VLOOKUP("net income", 'Income Statement'!$A:$F, 3, FALSE)/VLOOKUP("revenue", 'Income Statement'!$A:$F, 3, FALSE)), "NA")</f>
        <v>6.3398140321217239E-2</v>
      </c>
      <c r="E29" s="40">
        <f>IFERROR((VLOOKUP("net income", 'Income Statement'!$A:$F, 4, FALSE)/VLOOKUP("revenue", 'Income Statement'!$A:$F, 4, FALSE)), "NA")</f>
        <v>8.1944860154976887E-2</v>
      </c>
      <c r="F29" s="40">
        <f>IFERROR((VLOOKUP("net income", 'Income Statement'!$A:$F, 5, FALSE)/VLOOKUP("revenue", 'Income Statement'!$A:$F, 5, FALSE)), "NA")</f>
        <v>8.6239089184060716E-2</v>
      </c>
      <c r="G29" s="40">
        <f>IFERROR((VLOOKUP("net income", 'Income Statement'!$A:$F, 6, FALSE)/VLOOKUP("revenue", 'Income Statement'!$A:$F, 6, FALSE)), "NA")</f>
        <v>6.8078913324708931E-2</v>
      </c>
      <c r="H29" s="40">
        <f>IF(E29="NA","NA",IF(F29="NA","NA",IF(G29="NA","NA",AVERAGE(E29:G29))))</f>
        <v>7.8754287554582178E-2</v>
      </c>
      <c r="I29" s="42">
        <f>IF(C29="NA","NA",IF(D29="NA","NA",IF(E29="NA","NA",IF(F29="NA","NA",IF(G29="NA","NA",AVERAGE(C29:G29))))))</f>
        <v>6.5457574099894347E-2</v>
      </c>
    </row>
    <row r="30" spans="2:9" ht="15" x14ac:dyDescent="0.25">
      <c r="B30" s="3" t="s">
        <v>102</v>
      </c>
      <c r="C30" s="40">
        <f>IFERROR((VLOOKUP("net income", 'Income Statement'!$A:$F, 2, FALSE)/VLOOKUP("total assets", 'Balance Sheet'!$A:$F, 2, FALSE)), "NA")</f>
        <v>1.4907225423898197E-2</v>
      </c>
      <c r="D30" s="40">
        <f>IFERROR((VLOOKUP("net income", 'Income Statement'!$A:$F, 3, FALSE)/VLOOKUP("total assets", 'Balance Sheet'!$A:$F, 3, FALSE)), "NA")</f>
        <v>4.2174320524835988E-2</v>
      </c>
      <c r="E30" s="40">
        <f>IFERROR((VLOOKUP("net income", 'Income Statement'!$A:$F, 4, FALSE)/VLOOKUP("total assets", 'Balance Sheet'!$A:$F, 4, FALSE)), "NA")</f>
        <v>6.0676204782191143E-2</v>
      </c>
      <c r="F30" s="40">
        <f>IFERROR((VLOOKUP("net income", 'Income Statement'!$A:$F, 5, FALSE)/VLOOKUP("total assets", 'Balance Sheet'!$A:$F, 5, FALSE)), "NA")</f>
        <v>6.3852984151961334E-2</v>
      </c>
      <c r="G30" s="40">
        <f>IFERROR((VLOOKUP("net income", 'Income Statement'!$A:$F, 6, FALSE)/VLOOKUP("total assets", 'Balance Sheet'!$A:$F, 6, FALSE)), "NA")</f>
        <v>4.46310780248775E-2</v>
      </c>
      <c r="H30" s="40">
        <f>IF(E30="NA","NA",IF(F30="NA","NA",IF(G30="NA","NA",AVERAGE(E30:G30))))</f>
        <v>5.638675565300999E-2</v>
      </c>
      <c r="I30" s="42">
        <f>IF(C30="NA","NA",IF(D30="NA","NA",IF(E30="NA","NA",IF(F30="NA","NA",IF(G30="NA","NA",AVERAGE(C30:G30))))))</f>
        <v>4.5248362581552834E-2</v>
      </c>
    </row>
    <row r="31" spans="2:9" ht="15" x14ac:dyDescent="0.25">
      <c r="B31" s="4" t="s">
        <v>103</v>
      </c>
      <c r="C31" s="44">
        <f>IFERROR((VLOOKUP("net income available to common shareholders", 'Income Statement'!$A:$F, 2, FALSE)/VLOOKUP("total stockholders' equity", 'Balance Sheet'!$A:$F, 2, FALSE)), "NA")</f>
        <v>0.10240274599542334</v>
      </c>
      <c r="D31" s="44">
        <f>IFERROR((VLOOKUP("net income available to common shareholders", 'Income Statement'!$A:$F, 3, FALSE)/VLOOKUP("total stockholders' equity", 'Balance Sheet'!$A:$F, 3, FALSE)), "NA")</f>
        <v>0.24944567627494457</v>
      </c>
      <c r="E31" s="44">
        <f>IFERROR((VLOOKUP("net income available to common shareholders", 'Income Statement'!$A:$F, 4, FALSE)/VLOOKUP("total stockholders' equity", 'Balance Sheet'!$A:$F, 4, FALSE)), "NA")</f>
        <v>0.38251959947217262</v>
      </c>
      <c r="F31" s="44">
        <f>IFERROR((VLOOKUP("net income available to common shareholders", 'Income Statement'!$A:$F, 5, FALSE)/VLOOKUP("total stockholders' equity", 'Balance Sheet'!$A:$F, 5, FALSE)), "NA")</f>
        <v>0.32403604836869726</v>
      </c>
      <c r="G31" s="44">
        <f>IFERROR((VLOOKUP("net income available to common shareholders", 'Income Statement'!$A:$F, 6, FALSE)/VLOOKUP("total stockholders' equity", 'Balance Sheet'!$A:$F, 6, FALSE)), "NA")</f>
        <v>0.1820671760126856</v>
      </c>
      <c r="H31" s="44">
        <f>IF(E31="NA","NA",IF(F31="NA","NA",IF(G31="NA","NA",AVERAGE(E31:G31))))</f>
        <v>0.29620760795118517</v>
      </c>
      <c r="I31" s="45">
        <f>IF(C31="NA","NA",IF(D31="NA","NA",IF(E31="NA","NA",IF(F31="NA","NA",IF(G31="NA","NA",AVERAGE(C31:G31))))))</f>
        <v>0.24809424922478468</v>
      </c>
    </row>
    <row r="32" spans="2:9" ht="15" x14ac:dyDescent="0.25">
      <c r="B32" s="6"/>
      <c r="C32" s="6"/>
      <c r="D32" s="6"/>
      <c r="E32" s="6"/>
      <c r="F32" s="6"/>
      <c r="G32" s="6"/>
      <c r="H32" s="6"/>
    </row>
    <row r="33" spans="2:8" ht="15" x14ac:dyDescent="0.25">
      <c r="B33" s="6"/>
      <c r="C33" s="6"/>
      <c r="D33" s="6"/>
      <c r="E33" s="6"/>
      <c r="F33" s="6"/>
      <c r="G33" s="6"/>
      <c r="H33" s="6"/>
    </row>
    <row r="34" spans="2:8" ht="15" x14ac:dyDescent="0.25">
      <c r="B34" s="6"/>
      <c r="C34" s="6"/>
      <c r="D34" s="6"/>
      <c r="E34" s="6"/>
      <c r="F34" s="6"/>
      <c r="G34" s="6"/>
      <c r="H34" s="6"/>
    </row>
  </sheetData>
  <mergeCells count="10">
    <mergeCell ref="C3:I3"/>
    <mergeCell ref="C4:I4"/>
    <mergeCell ref="C5:I5"/>
    <mergeCell ref="C6:I6"/>
    <mergeCell ref="B2:I2"/>
    <mergeCell ref="B8:I8"/>
    <mergeCell ref="B11:I11"/>
    <mergeCell ref="B17:I17"/>
    <mergeCell ref="B23:I23"/>
    <mergeCell ref="B26:I2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4"/>
  <sheetViews>
    <sheetView workbookViewId="0">
      <selection activeCell="K21" sqref="K21"/>
    </sheetView>
  </sheetViews>
  <sheetFormatPr defaultRowHeight="15" x14ac:dyDescent="0.25"/>
  <cols>
    <col min="1" max="1" width="50.5703125" style="15" customWidth="1"/>
    <col min="2" max="2" width="12" style="15" customWidth="1"/>
    <col min="3" max="3" width="10.5703125" style="15" customWidth="1"/>
    <col min="4" max="4" width="10.42578125" style="15" customWidth="1"/>
    <col min="5" max="5" width="11.140625" style="15" customWidth="1"/>
    <col min="6" max="6" width="12" style="15" customWidth="1"/>
    <col min="7" max="16384" width="9.140625" style="15"/>
  </cols>
  <sheetData>
    <row r="1" spans="1:6" x14ac:dyDescent="0.25">
      <c r="A1" s="12" t="s">
        <v>54</v>
      </c>
      <c r="B1" s="13" t="str">
        <f>'Income Statement'!B2</f>
        <v>2009-12</v>
      </c>
      <c r="C1" s="13" t="str">
        <f>'Income Statement'!C2</f>
        <v>2010-12</v>
      </c>
      <c r="D1" s="13" t="str">
        <f>'Income Statement'!D2</f>
        <v>2011-12</v>
      </c>
      <c r="E1" s="13" t="str">
        <f>'Income Statement'!E2</f>
        <v>2012-12</v>
      </c>
      <c r="F1" s="14" t="str">
        <f>'Income Statement'!F2</f>
        <v>2013-12</v>
      </c>
    </row>
    <row r="2" spans="1:6" x14ac:dyDescent="0.25">
      <c r="A2" s="16" t="s">
        <v>55</v>
      </c>
      <c r="B2" s="17"/>
      <c r="C2" s="17"/>
      <c r="D2" s="17"/>
      <c r="E2" s="17"/>
      <c r="F2" s="18"/>
    </row>
    <row r="3" spans="1:6" x14ac:dyDescent="0.25">
      <c r="A3" s="19" t="s">
        <v>6</v>
      </c>
      <c r="B3" s="20">
        <f>VLOOKUP($A$3, 'Income Statement'!$A:$F, 2, FALSE)</f>
        <v>32396</v>
      </c>
      <c r="C3" s="20">
        <f>VLOOKUP($A$3, 'Income Statement'!$A:$F, 3, FALSE)</f>
        <v>42588</v>
      </c>
      <c r="D3" s="20">
        <f>VLOOKUP($A$3, 'Income Statement'!$A:$F, 4, FALSE)</f>
        <v>60138</v>
      </c>
      <c r="E3" s="20">
        <f>VLOOKUP($A$3, 'Income Statement'!$A:$F, 5, FALSE)</f>
        <v>65875</v>
      </c>
      <c r="F3" s="21">
        <f>VLOOKUP($A$3, 'Income Statement'!$A:$F, 6, FALSE)</f>
        <v>55656</v>
      </c>
    </row>
    <row r="4" spans="1:6" x14ac:dyDescent="0.25">
      <c r="A4" s="19" t="s">
        <v>56</v>
      </c>
      <c r="B4" s="20">
        <f>VLOOKUP($A$4, 'Income Statement'!$A:$F, 2, FALSE)</f>
        <v>7933</v>
      </c>
      <c r="C4" s="20">
        <f>VLOOKUP($A$4, 'Income Statement'!$A:$F, 3, FALSE)</f>
        <v>8258</v>
      </c>
      <c r="D4" s="20">
        <f>VLOOKUP($A$4, 'Income Statement'!$A:$F, 4, FALSE)</f>
        <v>9407</v>
      </c>
      <c r="E4" s="20">
        <f>VLOOKUP($A$4, 'Income Statement'!$A:$F, 5, FALSE)</f>
        <v>10247</v>
      </c>
      <c r="F4" s="21">
        <f>VLOOKUP($A$4, 'Income Statement'!$A:$F, 6, FALSE)</f>
        <v>9301</v>
      </c>
    </row>
    <row r="5" spans="1:6" x14ac:dyDescent="0.25">
      <c r="A5" s="19" t="s">
        <v>7</v>
      </c>
      <c r="B5" s="20">
        <f>VLOOKUP($A$5, 'Income Statement'!$A:$F, 2, FALSE)</f>
        <v>389</v>
      </c>
      <c r="C5" s="20">
        <f>VLOOKUP($A$5, 'Income Statement'!$A:$F, 3, FALSE)</f>
        <v>343</v>
      </c>
      <c r="D5" s="20">
        <f>VLOOKUP($A$5, 'Income Statement'!$A:$F, 4, FALSE)</f>
        <v>396</v>
      </c>
      <c r="E5" s="20">
        <f>VLOOKUP($A$5, 'Income Statement'!$A:$F, 5, FALSE)</f>
        <v>467</v>
      </c>
      <c r="F5" s="21">
        <f>VLOOKUP($A$5, 'Income Statement'!$A:$F, 6, FALSE)</f>
        <v>465</v>
      </c>
    </row>
    <row r="6" spans="1:6" x14ac:dyDescent="0.25">
      <c r="A6" s="19" t="s">
        <v>57</v>
      </c>
      <c r="B6" s="20">
        <f>VLOOKUP($A$6, 'Income Statement'!$A:$F, 2, FALSE)</f>
        <v>895</v>
      </c>
      <c r="C6" s="20">
        <f>VLOOKUP($A$6, 'Income Statement'!$A:$F, 3, FALSE)</f>
        <v>2700</v>
      </c>
      <c r="D6" s="20">
        <f>VLOOKUP($A$6, 'Income Statement'!$A:$F, 4, FALSE)</f>
        <v>4928</v>
      </c>
      <c r="E6" s="20">
        <f>VLOOKUP($A$6, 'Income Statement'!$A:$F, 5, FALSE)</f>
        <v>5681</v>
      </c>
      <c r="F6" s="21">
        <f>VLOOKUP($A$6, 'Income Statement'!$A:$F, 6, FALSE)</f>
        <v>3789</v>
      </c>
    </row>
    <row r="7" spans="1:6" x14ac:dyDescent="0.25">
      <c r="A7" s="19" t="s">
        <v>69</v>
      </c>
      <c r="B7" s="20">
        <f>VLOOKUP($A$7, 'Income Statement'!$A:$F, 2, FALSE)</f>
        <v>895</v>
      </c>
      <c r="C7" s="20">
        <f>VLOOKUP($A$7, 'Income Statement'!$A:$F, 3, FALSE)</f>
        <v>2700</v>
      </c>
      <c r="D7" s="20">
        <f>VLOOKUP($A$7, 'Income Statement'!$A:$F, 4, FALSE)</f>
        <v>4928</v>
      </c>
      <c r="E7" s="20">
        <f>VLOOKUP($A$7, 'Income Statement'!$A:$F, 5, FALSE)</f>
        <v>5681</v>
      </c>
      <c r="F7" s="21">
        <f>VLOOKUP($A$7, 'Income Statement'!$A:$F, 6, FALSE)</f>
        <v>3789</v>
      </c>
    </row>
    <row r="8" spans="1:6" x14ac:dyDescent="0.25">
      <c r="A8" s="19" t="s">
        <v>58</v>
      </c>
      <c r="B8" s="22">
        <f>(B6/B3)</f>
        <v>2.7626867514507963E-2</v>
      </c>
      <c r="C8" s="22">
        <f>(C6/C3)</f>
        <v>6.3398140321217239E-2</v>
      </c>
      <c r="D8" s="22">
        <f>(D6/D3)</f>
        <v>8.1944860154976887E-2</v>
      </c>
      <c r="E8" s="22">
        <f>(E6/E3)</f>
        <v>8.6239089184060716E-2</v>
      </c>
      <c r="F8" s="23">
        <f>(F6/F3)</f>
        <v>6.8078913324708931E-2</v>
      </c>
    </row>
    <row r="9" spans="1:6" x14ac:dyDescent="0.25">
      <c r="A9" s="19" t="s">
        <v>70</v>
      </c>
      <c r="B9" s="20">
        <f>VLOOKUP($A$9, 'Income Statement'!$A:$F, 2, FALSE)</f>
        <v>577</v>
      </c>
      <c r="C9" s="20">
        <f>VLOOKUP($A$9, 'Income Statement'!$A:$F, 3, FALSE)</f>
        <v>3963</v>
      </c>
      <c r="D9" s="20">
        <f>VLOOKUP($A$9, 'Income Statement'!$A:$F, 4, FALSE)</f>
        <v>7153</v>
      </c>
      <c r="E9" s="20">
        <f>VLOOKUP($A$9, 'Income Statement'!$A:$F, 5, FALSE)</f>
        <v>8573</v>
      </c>
      <c r="F9" s="21">
        <f>VLOOKUP($A$9, 'Income Statement'!$A:$F, 6, FALSE)</f>
        <v>5628</v>
      </c>
    </row>
    <row r="10" spans="1:6" x14ac:dyDescent="0.25">
      <c r="A10" s="19" t="s">
        <v>15</v>
      </c>
      <c r="B10" s="20">
        <f>VLOOKUP($A$10, 'Income Statement'!$A:$F, 2, FALSE)</f>
        <v>4339</v>
      </c>
      <c r="C10" s="20">
        <f>VLOOKUP($A$10, 'Income Statement'!$A:$F, 3, FALSE)</f>
        <v>7303</v>
      </c>
      <c r="D10" s="20">
        <f>VLOOKUP($A$10, 'Income Statement'!$A:$F, 4, FALSE)</f>
        <v>10474</v>
      </c>
      <c r="E10" s="20">
        <f>VLOOKUP($A$10, 'Income Statement'!$A:$F, 5, FALSE)</f>
        <v>12313</v>
      </c>
      <c r="F10" s="21">
        <f>VLOOKUP($A$10, 'Income Statement'!$A:$F, 6, FALSE)</f>
        <v>9407</v>
      </c>
    </row>
    <row r="11" spans="1:6" x14ac:dyDescent="0.25">
      <c r="A11" s="19"/>
      <c r="B11" s="20"/>
      <c r="C11" s="20"/>
      <c r="D11" s="20"/>
      <c r="E11" s="20"/>
      <c r="F11" s="21"/>
    </row>
    <row r="12" spans="1:6" x14ac:dyDescent="0.25">
      <c r="A12" s="16" t="s">
        <v>59</v>
      </c>
      <c r="B12" s="17"/>
      <c r="C12" s="17"/>
      <c r="D12" s="17"/>
      <c r="E12" s="17"/>
      <c r="F12" s="18"/>
    </row>
    <row r="13" spans="1:6" x14ac:dyDescent="0.25">
      <c r="A13" s="19" t="s">
        <v>60</v>
      </c>
      <c r="B13" s="20">
        <f>VLOOKUP($A$13, 'Balance Sheet'!$A:$F, 2, FALSE)</f>
        <v>27217</v>
      </c>
      <c r="C13" s="20">
        <f>VLOOKUP($A$13, 'Balance Sheet'!$A:$F, 3, FALSE)</f>
        <v>31810</v>
      </c>
      <c r="D13" s="20">
        <f>VLOOKUP($A$13, 'Balance Sheet'!$A:$F, 4, FALSE)</f>
        <v>37900</v>
      </c>
      <c r="E13" s="20">
        <f>VLOOKUP($A$13, 'Balance Sheet'!$A:$F, 5, FALSE)</f>
        <v>42138</v>
      </c>
      <c r="F13" s="21">
        <f>VLOOKUP($A$13, 'Balance Sheet'!$A:$F, 6, FALSE)</f>
        <v>38335</v>
      </c>
    </row>
    <row r="14" spans="1:6" x14ac:dyDescent="0.25">
      <c r="A14" s="19" t="s">
        <v>61</v>
      </c>
      <c r="B14" s="20">
        <f>VLOOKUP($A$14, 'Balance Sheet'!$A:$F, 2, FALSE)</f>
        <v>60038</v>
      </c>
      <c r="C14" s="20">
        <f>VLOOKUP($A$14, 'Balance Sheet'!$A:$F, 3, FALSE)</f>
        <v>64020</v>
      </c>
      <c r="D14" s="20">
        <f>VLOOKUP($A$14, 'Balance Sheet'!$A:$F, 4, FALSE)</f>
        <v>81218</v>
      </c>
      <c r="E14" s="20">
        <f>VLOOKUP($A$14, 'Balance Sheet'!$A:$F, 5, FALSE)</f>
        <v>88970</v>
      </c>
      <c r="F14" s="21">
        <f>VLOOKUP($A$14, 'Balance Sheet'!$A:$F, 6, FALSE)</f>
        <v>84896</v>
      </c>
    </row>
    <row r="15" spans="1:6" x14ac:dyDescent="0.25">
      <c r="A15" s="19" t="s">
        <v>62</v>
      </c>
      <c r="B15" s="20">
        <f>VLOOKUP($A$15, 'Balance Sheet'!$A:$F, 2, FALSE)</f>
        <v>18975</v>
      </c>
      <c r="C15" s="20">
        <f>VLOOKUP($A$15, 'Balance Sheet'!$A:$F, 3, FALSE)</f>
        <v>22020</v>
      </c>
      <c r="D15" s="20">
        <f>VLOOKUP($A$15, 'Balance Sheet'!$A:$F, 4, FALSE)</f>
        <v>28357</v>
      </c>
      <c r="E15" s="20">
        <f>VLOOKUP($A$15, 'Balance Sheet'!$A:$F, 5, FALSE)</f>
        <v>29415</v>
      </c>
      <c r="F15" s="21">
        <f>VLOOKUP($A$15, 'Balance Sheet'!$A:$F, 6, FALSE)</f>
        <v>27297</v>
      </c>
    </row>
    <row r="16" spans="1:6" x14ac:dyDescent="0.25">
      <c r="A16" s="19" t="s">
        <v>63</v>
      </c>
      <c r="B16" s="20">
        <f>VLOOKUP($A$16, 'Balance Sheet'!$A:$F, 2, FALSE)</f>
        <v>51298</v>
      </c>
      <c r="C16" s="20">
        <f>VLOOKUP($A$16, 'Balance Sheet'!$A:$F, 3, FALSE)</f>
        <v>53196</v>
      </c>
      <c r="D16" s="20">
        <f>VLOOKUP($A$16, 'Balance Sheet'!$A:$F, 4, FALSE)</f>
        <v>68335</v>
      </c>
      <c r="E16" s="20">
        <f>VLOOKUP($A$16, 'Balance Sheet'!$A:$F, 5, FALSE)</f>
        <v>71438</v>
      </c>
      <c r="F16" s="21">
        <f>VLOOKUP($A$16, 'Balance Sheet'!$A:$F, 6, FALSE)</f>
        <v>64085</v>
      </c>
    </row>
    <row r="17" spans="1:6" x14ac:dyDescent="0.25">
      <c r="A17" s="19" t="s">
        <v>64</v>
      </c>
      <c r="B17" s="20">
        <f>VLOOKUP($A$17, 'Balance Sheet'!$A:$F, 2, FALSE)</f>
        <v>8740</v>
      </c>
      <c r="C17" s="20">
        <f>VLOOKUP($A$17, 'Balance Sheet'!$A:$F, 3, FALSE)</f>
        <v>10824</v>
      </c>
      <c r="D17" s="20">
        <f>VLOOKUP($A$17, 'Balance Sheet'!$A:$F, 4, FALSE)</f>
        <v>12883</v>
      </c>
      <c r="E17" s="20">
        <f>VLOOKUP($A$17, 'Balance Sheet'!$A:$F, 5, FALSE)</f>
        <v>17532</v>
      </c>
      <c r="F17" s="21">
        <f>VLOOKUP($A$17, 'Balance Sheet'!$A:$F, 6, FALSE)</f>
        <v>20811</v>
      </c>
    </row>
    <row r="18" spans="1:6" x14ac:dyDescent="0.25">
      <c r="A18" s="19" t="s">
        <v>105</v>
      </c>
      <c r="B18" s="22">
        <f>(B16/B14)</f>
        <v>0.8544255304973517</v>
      </c>
      <c r="C18" s="22">
        <f>(C16/C14)</f>
        <v>0.83092783505154644</v>
      </c>
      <c r="D18" s="22">
        <f>(D16/D14)</f>
        <v>0.84137752714915415</v>
      </c>
      <c r="E18" s="22">
        <f>(E16/E14)</f>
        <v>0.8029448128582668</v>
      </c>
      <c r="F18" s="23">
        <f>(F16/F14)</f>
        <v>0.75486477572559363</v>
      </c>
    </row>
    <row r="19" spans="1:6" x14ac:dyDescent="0.25">
      <c r="A19" s="19"/>
      <c r="B19" s="20"/>
      <c r="C19" s="20"/>
      <c r="D19" s="20"/>
      <c r="E19" s="20"/>
      <c r="F19" s="21"/>
    </row>
    <row r="20" spans="1:6" x14ac:dyDescent="0.25">
      <c r="A20" s="16" t="s">
        <v>65</v>
      </c>
      <c r="B20" s="17"/>
      <c r="C20" s="17"/>
      <c r="D20" s="17"/>
      <c r="E20" s="17"/>
      <c r="F20" s="18"/>
    </row>
    <row r="21" spans="1:6" x14ac:dyDescent="0.25">
      <c r="A21" s="19" t="s">
        <v>66</v>
      </c>
      <c r="B21" s="20">
        <f>VLOOKUP($A$21, 'Cash Flow Statement'!$A:$F, 2, FALSE)</f>
        <v>6499</v>
      </c>
      <c r="C21" s="20">
        <f>VLOOKUP($A$21, 'Cash Flow Statement'!$A:$F, 3, FALSE)</f>
        <v>5009</v>
      </c>
      <c r="D21" s="20">
        <f>VLOOKUP($A$21, 'Cash Flow Statement'!$A:$F, 4, FALSE)</f>
        <v>6957</v>
      </c>
      <c r="E21" s="20">
        <f>VLOOKUP($A$21, 'Cash Flow Statement'!$A:$F, 5, FALSE)</f>
        <v>5184</v>
      </c>
      <c r="F21" s="24">
        <f>VLOOKUP($A$21, 'Cash Flow Statement'!$A:$F, 6, FALSE)</f>
        <v>10191</v>
      </c>
    </row>
    <row r="22" spans="1:6" x14ac:dyDescent="0.25">
      <c r="A22" s="19" t="s">
        <v>67</v>
      </c>
      <c r="B22" s="20">
        <f>VLOOKUP($A$22, 'Cash Flow Statement'!$A:$F, 2, FALSE)</f>
        <v>846</v>
      </c>
      <c r="C22" s="20">
        <f>VLOOKUP($A$22, 'Cash Flow Statement'!$A:$F, 3, FALSE)</f>
        <v>-1595</v>
      </c>
      <c r="D22" s="20">
        <f>VLOOKUP($A$22, 'Cash Flow Statement'!$A:$F, 4, FALSE)</f>
        <v>-11427</v>
      </c>
      <c r="E22" s="20">
        <f>VLOOKUP($A$22, 'Cash Flow Statement'!$A:$F, 5, FALSE)</f>
        <v>-6190</v>
      </c>
      <c r="F22" s="21">
        <f>VLOOKUP($A$22, 'Cash Flow Statement'!$A:$F, 6, FALSE)</f>
        <v>-5046</v>
      </c>
    </row>
    <row r="23" spans="1:6" x14ac:dyDescent="0.25">
      <c r="A23" s="19" t="s">
        <v>68</v>
      </c>
      <c r="B23" s="20">
        <f>VLOOKUP($A$23, 'Cash Flow Statement'!$A:$F, 2, FALSE)</f>
        <v>-5215</v>
      </c>
      <c r="C23" s="20">
        <f>VLOOKUP($A$23, 'Cash Flow Statement'!$A:$F, 3, FALSE)</f>
        <v>-4613</v>
      </c>
      <c r="D23" s="20">
        <f>VLOOKUP($A$23, 'Cash Flow Statement'!$A:$F, 4, FALSE)</f>
        <v>4019</v>
      </c>
      <c r="E23" s="20">
        <f>VLOOKUP($A$23, 'Cash Flow Statement'!$A:$F, 5, FALSE)</f>
        <v>3606</v>
      </c>
      <c r="F23" s="21">
        <f>VLOOKUP($A$23, 'Cash Flow Statement'!$A:$F, 6, FALSE)</f>
        <v>-4511</v>
      </c>
    </row>
    <row r="24" spans="1:6" x14ac:dyDescent="0.25">
      <c r="A24" s="25" t="s">
        <v>71</v>
      </c>
      <c r="B24" s="20">
        <f>VLOOKUP($A$24, 'Cash Flow Statement'!$A:$F, 2, FALSE)</f>
        <v>6499</v>
      </c>
      <c r="C24" s="20">
        <f>VLOOKUP($A$24, 'Cash Flow Statement'!$A:$F, 3, FALSE)</f>
        <v>5009</v>
      </c>
      <c r="D24" s="20">
        <f>VLOOKUP($A$24, 'Cash Flow Statement'!$A:$F, 4, FALSE)</f>
        <v>6957</v>
      </c>
      <c r="E24" s="20">
        <f>VLOOKUP($A$24, 'Cash Flow Statement'!$A:$F, 5, FALSE)</f>
        <v>5184</v>
      </c>
      <c r="F24" s="21">
        <f>VLOOKUP($A$24, 'Cash Flow Statement'!$A:$F, 6, FALSE)</f>
        <v>10191</v>
      </c>
    </row>
    <row r="25" spans="1:6" x14ac:dyDescent="0.25">
      <c r="A25" s="25" t="s">
        <v>44</v>
      </c>
      <c r="B25" s="20">
        <f>VLOOKUP($A$25, 'Cash Flow Statement'!$A:$F, 2, FALSE)</f>
        <v>4027</v>
      </c>
      <c r="C25" s="20">
        <f>VLOOKUP($A$25, 'Cash Flow Statement'!$A:$F, 3, FALSE)</f>
        <v>2423</v>
      </c>
      <c r="D25" s="20">
        <f>VLOOKUP($A$25, 'Cash Flow Statement'!$A:$F, 4, FALSE)</f>
        <v>3033</v>
      </c>
      <c r="E25" s="20">
        <f>VLOOKUP($A$25, 'Cash Flow Statement'!$A:$F, 5, FALSE)</f>
        <v>108</v>
      </c>
      <c r="F25" s="21">
        <f>VLOOKUP($A$25, 'Cash Flow Statement'!$A:$F, 6, FALSE)</f>
        <v>5745</v>
      </c>
    </row>
    <row r="26" spans="1:6" x14ac:dyDescent="0.25">
      <c r="A26" s="26" t="s">
        <v>72</v>
      </c>
      <c r="B26" s="20">
        <f>VLOOKUP($A$26, 'Cash Flow Statement'!$A:$F, 2, FALSE)</f>
        <v>-2472</v>
      </c>
      <c r="C26" s="20">
        <f>VLOOKUP($A$26, 'Cash Flow Statement'!$A:$F, 3, FALSE)</f>
        <v>-2586</v>
      </c>
      <c r="D26" s="20">
        <f>VLOOKUP($A$26, 'Cash Flow Statement'!$A:$F, 4, FALSE)</f>
        <v>-3924</v>
      </c>
      <c r="E26" s="20">
        <f>VLOOKUP($A$26, 'Cash Flow Statement'!$A:$F, 5, FALSE)</f>
        <v>-5076</v>
      </c>
      <c r="F26" s="21">
        <f>VLOOKUP($A$26, 'Cash Flow Statement'!$A:$F, 6, FALSE)</f>
        <v>-4446</v>
      </c>
    </row>
    <row r="27" spans="1:6" x14ac:dyDescent="0.25">
      <c r="A27" s="19"/>
      <c r="B27" s="20"/>
      <c r="C27" s="20"/>
      <c r="D27" s="20"/>
      <c r="E27" s="20"/>
      <c r="F27" s="21"/>
    </row>
    <row r="28" spans="1:6" x14ac:dyDescent="0.25">
      <c r="A28" s="16" t="s">
        <v>73</v>
      </c>
      <c r="B28" s="27"/>
      <c r="C28" s="27" t="str">
        <f>C1</f>
        <v>2010-12</v>
      </c>
      <c r="D28" s="27" t="str">
        <f>D1</f>
        <v>2011-12</v>
      </c>
      <c r="E28" s="27" t="str">
        <f>E1</f>
        <v>2012-12</v>
      </c>
      <c r="F28" s="28" t="str">
        <f>F1</f>
        <v>2013-12</v>
      </c>
    </row>
    <row r="29" spans="1:6" x14ac:dyDescent="0.25">
      <c r="A29" s="25" t="s">
        <v>78</v>
      </c>
      <c r="B29" s="20"/>
      <c r="C29" s="22">
        <f>IF(C3&gt;0 &amp; B3&gt;0,((C3/B3)-1), "na")</f>
        <v>0.31460674157303381</v>
      </c>
      <c r="D29" s="22">
        <f t="shared" ref="D29:F29" si="0">IF(D3&gt;0 &amp; C3&gt;0,((D3/C3)-1), "na")</f>
        <v>0.41208791208791218</v>
      </c>
      <c r="E29" s="22">
        <f t="shared" si="0"/>
        <v>9.5397252984801728E-2</v>
      </c>
      <c r="F29" s="33">
        <f t="shared" si="0"/>
        <v>-0.15512713472485773</v>
      </c>
    </row>
    <row r="30" spans="1:6" x14ac:dyDescent="0.25">
      <c r="A30" s="19" t="s">
        <v>77</v>
      </c>
      <c r="B30" s="20"/>
      <c r="C30" s="22">
        <f>IF(C9&gt;0 &amp; B9&gt;0,((C9/B9)-1), "na")</f>
        <v>5.8682842287694976</v>
      </c>
      <c r="D30" s="22">
        <f t="shared" ref="D30:F30" si="1">IF(D9&gt;0 &amp; C9&gt;0,((D9/C9)-1), "na")</f>
        <v>0.80494574817057774</v>
      </c>
      <c r="E30" s="22">
        <f t="shared" si="1"/>
        <v>0.19851810429190553</v>
      </c>
      <c r="F30" s="23">
        <f t="shared" si="1"/>
        <v>-0.34352035460165631</v>
      </c>
    </row>
    <row r="31" spans="1:6" x14ac:dyDescent="0.25">
      <c r="A31" s="19" t="s">
        <v>79</v>
      </c>
      <c r="B31" s="20"/>
      <c r="C31" s="22">
        <f>IF(C10&gt;0 &amp; B10&gt;0,((C10/B10)-1), "na")</f>
        <v>0.68310670661442718</v>
      </c>
      <c r="D31" s="22">
        <f t="shared" ref="D31:F31" si="2">IF(D10&gt;0 &amp; C10&gt;0,((D10/C10)-1), "na")</f>
        <v>0.43420512118307553</v>
      </c>
      <c r="E31" s="22">
        <f t="shared" si="2"/>
        <v>0.17557762077525307</v>
      </c>
      <c r="F31" s="23">
        <f t="shared" si="2"/>
        <v>-0.23601072037683746</v>
      </c>
    </row>
    <row r="32" spans="1:6" x14ac:dyDescent="0.25">
      <c r="A32" s="19" t="s">
        <v>74</v>
      </c>
      <c r="B32" s="20"/>
      <c r="C32" s="22">
        <f>IF(C6&gt;0 &amp; B6&gt;0, ((C6/B6)-1), "na")</f>
        <v>2.016759776536313</v>
      </c>
      <c r="D32" s="22">
        <f t="shared" ref="D32:F32" si="3">IF(D6&gt;0 &amp; C6&gt;0, ((D6/C6)-1), "na")</f>
        <v>0.82518518518518524</v>
      </c>
      <c r="E32" s="22">
        <f t="shared" si="3"/>
        <v>0.15280032467532467</v>
      </c>
      <c r="F32" s="23">
        <f t="shared" si="3"/>
        <v>-0.33303995775391659</v>
      </c>
    </row>
    <row r="33" spans="1:6" x14ac:dyDescent="0.25">
      <c r="A33" s="19" t="s">
        <v>75</v>
      </c>
      <c r="B33" s="20"/>
      <c r="C33" s="22">
        <f>IF( C24&gt;0 &amp; B24&gt;0,((C24/B24)-1), "na")</f>
        <v>-0.22926604092937375</v>
      </c>
      <c r="D33" s="22">
        <f t="shared" ref="D33:F33" si="4">IF( D24&gt;0 &amp; C24&gt;0,((D24/C24)-1), "na")</f>
        <v>0.3888999800359354</v>
      </c>
      <c r="E33" s="22">
        <f t="shared" si="4"/>
        <v>-0.25485122897800772</v>
      </c>
      <c r="F33" s="23">
        <f t="shared" si="4"/>
        <v>0.9658564814814814</v>
      </c>
    </row>
    <row r="34" spans="1:6" x14ac:dyDescent="0.25">
      <c r="A34" s="29" t="s">
        <v>76</v>
      </c>
      <c r="B34" s="30"/>
      <c r="C34" s="31">
        <f>IF(C25&gt;0 &amp; B25&gt;0,((C25/B25)-1), "na")</f>
        <v>-0.39831139806307425</v>
      </c>
      <c r="D34" s="31">
        <f t="shared" ref="D34:F34" si="5">IF(D25&gt;0 &amp; C25&gt;0,((D25/C25)-1), "na")</f>
        <v>0.25175402393726776</v>
      </c>
      <c r="E34" s="31">
        <f t="shared" si="5"/>
        <v>-0.96439169139465875</v>
      </c>
      <c r="F34" s="32">
        <f t="shared" si="5"/>
        <v>52.194444444444443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Z34" sqref="Z34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27"/>
  <sheetViews>
    <sheetView workbookViewId="0">
      <selection sqref="A1:XFD1048576"/>
    </sheetView>
  </sheetViews>
  <sheetFormatPr defaultRowHeight="12.75" x14ac:dyDescent="0.2"/>
  <cols>
    <col min="1" max="1" width="60.42578125" bestFit="1" customWidth="1"/>
    <col min="2" max="6" width="7.5703125" bestFit="1" customWidth="1"/>
  </cols>
  <sheetData>
    <row r="1" spans="1:6" x14ac:dyDescent="0.2">
      <c r="A1" t="s">
        <v>107</v>
      </c>
    </row>
    <row r="2" spans="1:6" x14ac:dyDescent="0.2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">
      <c r="A3" t="s">
        <v>6</v>
      </c>
      <c r="B3">
        <v>32396</v>
      </c>
      <c r="C3">
        <v>42588</v>
      </c>
      <c r="D3">
        <v>60138</v>
      </c>
      <c r="E3">
        <v>65875</v>
      </c>
      <c r="F3">
        <v>55656</v>
      </c>
    </row>
    <row r="4" spans="1:6" x14ac:dyDescent="0.2">
      <c r="A4" t="s">
        <v>108</v>
      </c>
      <c r="B4">
        <v>23886</v>
      </c>
      <c r="C4">
        <v>30367</v>
      </c>
      <c r="D4">
        <v>43578</v>
      </c>
      <c r="E4">
        <v>47055</v>
      </c>
      <c r="F4">
        <v>40727</v>
      </c>
    </row>
    <row r="5" spans="1:6" x14ac:dyDescent="0.2">
      <c r="A5" t="s">
        <v>109</v>
      </c>
      <c r="B5">
        <v>8510</v>
      </c>
      <c r="C5">
        <v>12221</v>
      </c>
      <c r="D5">
        <v>16560</v>
      </c>
      <c r="E5">
        <v>18820</v>
      </c>
      <c r="F5">
        <v>14929</v>
      </c>
    </row>
    <row r="6" spans="1:6" x14ac:dyDescent="0.2">
      <c r="A6" t="s">
        <v>110</v>
      </c>
    </row>
    <row r="7" spans="1:6" x14ac:dyDescent="0.2">
      <c r="A7" t="s">
        <v>111</v>
      </c>
      <c r="B7">
        <v>1421</v>
      </c>
      <c r="C7">
        <v>1905</v>
      </c>
      <c r="D7">
        <v>2297</v>
      </c>
      <c r="E7">
        <v>2466</v>
      </c>
      <c r="F7">
        <v>2046</v>
      </c>
    </row>
    <row r="8" spans="1:6" x14ac:dyDescent="0.2">
      <c r="A8" t="s">
        <v>112</v>
      </c>
      <c r="B8">
        <v>3645</v>
      </c>
      <c r="C8">
        <v>4248</v>
      </c>
      <c r="D8">
        <v>5203</v>
      </c>
      <c r="E8">
        <v>5919</v>
      </c>
      <c r="F8">
        <v>5547</v>
      </c>
    </row>
    <row r="9" spans="1:6" x14ac:dyDescent="0.2">
      <c r="A9" t="s">
        <v>113</v>
      </c>
      <c r="B9">
        <v>2867</v>
      </c>
      <c r="C9">
        <v>2105</v>
      </c>
      <c r="D9">
        <v>1907</v>
      </c>
      <c r="E9">
        <v>1862</v>
      </c>
      <c r="F9">
        <v>1708</v>
      </c>
    </row>
    <row r="10" spans="1:6" x14ac:dyDescent="0.2">
      <c r="A10" t="s">
        <v>114</v>
      </c>
      <c r="B10">
        <v>7933</v>
      </c>
      <c r="C10">
        <v>8258</v>
      </c>
      <c r="D10">
        <v>9407</v>
      </c>
      <c r="E10">
        <v>10247</v>
      </c>
      <c r="F10">
        <v>9301</v>
      </c>
    </row>
    <row r="11" spans="1:6" x14ac:dyDescent="0.2">
      <c r="A11" t="s">
        <v>115</v>
      </c>
      <c r="B11">
        <v>577</v>
      </c>
      <c r="C11">
        <v>3963</v>
      </c>
      <c r="D11">
        <v>7153</v>
      </c>
      <c r="E11">
        <v>8573</v>
      </c>
      <c r="F11">
        <v>5628</v>
      </c>
    </row>
    <row r="12" spans="1:6" x14ac:dyDescent="0.2">
      <c r="A12" t="s">
        <v>7</v>
      </c>
      <c r="B12">
        <v>389</v>
      </c>
      <c r="C12">
        <v>343</v>
      </c>
      <c r="D12">
        <v>396</v>
      </c>
      <c r="E12">
        <v>467</v>
      </c>
      <c r="F12">
        <v>465</v>
      </c>
    </row>
    <row r="13" spans="1:6" x14ac:dyDescent="0.2">
      <c r="A13" t="s">
        <v>8</v>
      </c>
      <c r="B13">
        <v>381</v>
      </c>
      <c r="C13">
        <v>130</v>
      </c>
      <c r="D13">
        <v>-32</v>
      </c>
      <c r="E13">
        <v>130</v>
      </c>
      <c r="F13">
        <v>-35</v>
      </c>
    </row>
    <row r="14" spans="1:6" x14ac:dyDescent="0.2">
      <c r="A14" t="s">
        <v>116</v>
      </c>
      <c r="B14">
        <v>569</v>
      </c>
      <c r="C14">
        <v>3750</v>
      </c>
      <c r="D14">
        <v>6725</v>
      </c>
      <c r="E14">
        <v>8236</v>
      </c>
      <c r="F14">
        <v>5128</v>
      </c>
    </row>
    <row r="15" spans="1:6" x14ac:dyDescent="0.2">
      <c r="A15" t="s">
        <v>117</v>
      </c>
      <c r="B15">
        <v>-270</v>
      </c>
      <c r="C15">
        <v>968</v>
      </c>
      <c r="D15">
        <v>1720</v>
      </c>
      <c r="E15">
        <v>2528</v>
      </c>
      <c r="F15">
        <v>1319</v>
      </c>
    </row>
    <row r="16" spans="1:6" x14ac:dyDescent="0.2">
      <c r="A16" t="s">
        <v>51</v>
      </c>
      <c r="B16">
        <v>-12</v>
      </c>
      <c r="C16">
        <v>-24</v>
      </c>
      <c r="D16">
        <v>-24</v>
      </c>
      <c r="E16">
        <v>14</v>
      </c>
      <c r="F16">
        <v>-6</v>
      </c>
    </row>
    <row r="17" spans="1:6" x14ac:dyDescent="0.2">
      <c r="A17" t="s">
        <v>118</v>
      </c>
      <c r="B17">
        <v>827</v>
      </c>
      <c r="C17">
        <v>2758</v>
      </c>
      <c r="D17">
        <v>4981</v>
      </c>
      <c r="E17">
        <v>5722</v>
      </c>
      <c r="F17">
        <v>3803</v>
      </c>
    </row>
    <row r="18" spans="1:6" x14ac:dyDescent="0.2">
      <c r="A18" t="s">
        <v>119</v>
      </c>
      <c r="B18">
        <v>68</v>
      </c>
      <c r="C18">
        <v>-58</v>
      </c>
      <c r="D18">
        <v>-53</v>
      </c>
      <c r="E18">
        <v>-41</v>
      </c>
      <c r="F18">
        <v>-14</v>
      </c>
    </row>
    <row r="19" spans="1:6" x14ac:dyDescent="0.2">
      <c r="A19" t="s">
        <v>9</v>
      </c>
      <c r="B19">
        <v>895</v>
      </c>
      <c r="C19">
        <v>2700</v>
      </c>
      <c r="D19">
        <v>4928</v>
      </c>
      <c r="E19">
        <v>5681</v>
      </c>
      <c r="F19">
        <v>3789</v>
      </c>
    </row>
    <row r="20" spans="1:6" x14ac:dyDescent="0.2">
      <c r="A20" t="s">
        <v>10</v>
      </c>
      <c r="B20">
        <v>895</v>
      </c>
      <c r="C20">
        <v>2700</v>
      </c>
      <c r="D20">
        <v>4928</v>
      </c>
      <c r="E20">
        <v>5681</v>
      </c>
      <c r="F20">
        <v>3789</v>
      </c>
    </row>
    <row r="21" spans="1:6" x14ac:dyDescent="0.2">
      <c r="A21" t="s">
        <v>11</v>
      </c>
    </row>
    <row r="22" spans="1:6" x14ac:dyDescent="0.2">
      <c r="A22" t="s">
        <v>12</v>
      </c>
      <c r="B22">
        <v>1.45</v>
      </c>
      <c r="C22">
        <v>4.28</v>
      </c>
      <c r="D22">
        <v>7.64</v>
      </c>
      <c r="E22">
        <v>8.7100000000000009</v>
      </c>
      <c r="F22">
        <v>5.87</v>
      </c>
    </row>
    <row r="23" spans="1:6" x14ac:dyDescent="0.2">
      <c r="A23" t="s">
        <v>13</v>
      </c>
      <c r="B23">
        <v>1.43</v>
      </c>
      <c r="C23">
        <v>4.1500000000000004</v>
      </c>
      <c r="D23">
        <v>7.4</v>
      </c>
      <c r="E23">
        <v>8.48</v>
      </c>
      <c r="F23">
        <v>5.75</v>
      </c>
    </row>
    <row r="24" spans="1:6" x14ac:dyDescent="0.2">
      <c r="A24" t="s">
        <v>14</v>
      </c>
    </row>
    <row r="25" spans="1:6" x14ac:dyDescent="0.2">
      <c r="A25" t="s">
        <v>12</v>
      </c>
      <c r="B25">
        <v>615</v>
      </c>
      <c r="C25">
        <v>632</v>
      </c>
      <c r="D25">
        <v>645</v>
      </c>
      <c r="E25">
        <v>653</v>
      </c>
      <c r="F25">
        <v>645</v>
      </c>
    </row>
    <row r="26" spans="1:6" x14ac:dyDescent="0.2">
      <c r="A26" t="s">
        <v>13</v>
      </c>
      <c r="B26">
        <v>626</v>
      </c>
      <c r="C26">
        <v>650</v>
      </c>
      <c r="D26">
        <v>666</v>
      </c>
      <c r="E26">
        <v>670</v>
      </c>
      <c r="F26">
        <v>659</v>
      </c>
    </row>
    <row r="27" spans="1:6" x14ac:dyDescent="0.2">
      <c r="A27" t="s">
        <v>15</v>
      </c>
      <c r="B27">
        <v>4339</v>
      </c>
      <c r="C27">
        <v>7303</v>
      </c>
      <c r="D27">
        <v>10474</v>
      </c>
      <c r="E27">
        <v>12313</v>
      </c>
      <c r="F27">
        <v>9407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48"/>
  <sheetViews>
    <sheetView workbookViewId="0">
      <selection activeCell="J31" sqref="J31"/>
    </sheetView>
  </sheetViews>
  <sheetFormatPr defaultRowHeight="12.75" x14ac:dyDescent="0.2"/>
  <cols>
    <col min="1" max="1" width="60.42578125" bestFit="1" customWidth="1"/>
    <col min="2" max="6" width="7.5703125" bestFit="1" customWidth="1"/>
  </cols>
  <sheetData>
    <row r="1" spans="1:6" x14ac:dyDescent="0.2">
      <c r="A1" t="s">
        <v>120</v>
      </c>
    </row>
    <row r="2" spans="1:6" x14ac:dyDescent="0.2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">
      <c r="A3" t="s">
        <v>16</v>
      </c>
    </row>
    <row r="4" spans="1:6" x14ac:dyDescent="0.2">
      <c r="A4" t="s">
        <v>121</v>
      </c>
    </row>
    <row r="5" spans="1:6" x14ac:dyDescent="0.2">
      <c r="A5" t="s">
        <v>122</v>
      </c>
    </row>
    <row r="6" spans="1:6" x14ac:dyDescent="0.2">
      <c r="A6" t="s">
        <v>123</v>
      </c>
      <c r="B6">
        <v>4867</v>
      </c>
      <c r="C6">
        <v>3592</v>
      </c>
      <c r="D6">
        <v>3057</v>
      </c>
      <c r="E6">
        <v>5490</v>
      </c>
      <c r="F6">
        <v>6081</v>
      </c>
    </row>
    <row r="7" spans="1:6" x14ac:dyDescent="0.2">
      <c r="A7" t="s">
        <v>124</v>
      </c>
      <c r="B7">
        <v>4867</v>
      </c>
      <c r="C7">
        <v>3592</v>
      </c>
      <c r="D7">
        <v>3057</v>
      </c>
      <c r="E7">
        <v>5490</v>
      </c>
      <c r="F7">
        <v>6081</v>
      </c>
    </row>
    <row r="8" spans="1:6" x14ac:dyDescent="0.2">
      <c r="A8" t="s">
        <v>17</v>
      </c>
      <c r="B8">
        <v>5611</v>
      </c>
      <c r="C8">
        <v>16792</v>
      </c>
      <c r="D8">
        <v>17725</v>
      </c>
      <c r="E8">
        <v>18566</v>
      </c>
      <c r="F8">
        <v>17176</v>
      </c>
    </row>
    <row r="9" spans="1:6" x14ac:dyDescent="0.2">
      <c r="A9" t="s">
        <v>125</v>
      </c>
      <c r="B9">
        <v>6360</v>
      </c>
      <c r="C9">
        <v>9587</v>
      </c>
      <c r="D9">
        <v>14544</v>
      </c>
      <c r="E9">
        <v>15547</v>
      </c>
      <c r="F9">
        <v>12625</v>
      </c>
    </row>
    <row r="10" spans="1:6" x14ac:dyDescent="0.2">
      <c r="A10" t="s">
        <v>126</v>
      </c>
      <c r="B10">
        <v>1216</v>
      </c>
      <c r="C10">
        <v>931</v>
      </c>
      <c r="D10">
        <v>1580</v>
      </c>
      <c r="E10">
        <v>1547</v>
      </c>
      <c r="F10">
        <v>1553</v>
      </c>
    </row>
    <row r="11" spans="1:6" x14ac:dyDescent="0.2">
      <c r="A11" t="s">
        <v>127</v>
      </c>
      <c r="B11">
        <v>862</v>
      </c>
      <c r="C11">
        <v>908</v>
      </c>
      <c r="D11">
        <v>994</v>
      </c>
      <c r="E11">
        <v>988</v>
      </c>
      <c r="F11">
        <v>900</v>
      </c>
    </row>
    <row r="12" spans="1:6" x14ac:dyDescent="0.2">
      <c r="A12" t="s">
        <v>128</v>
      </c>
      <c r="B12">
        <v>8301</v>
      </c>
    </row>
    <row r="13" spans="1:6" x14ac:dyDescent="0.2">
      <c r="A13" t="s">
        <v>129</v>
      </c>
      <c r="B13">
        <v>27217</v>
      </c>
      <c r="C13">
        <v>31810</v>
      </c>
      <c r="D13">
        <v>37900</v>
      </c>
      <c r="E13">
        <v>42138</v>
      </c>
      <c r="F13">
        <v>38335</v>
      </c>
    </row>
    <row r="14" spans="1:6" x14ac:dyDescent="0.2">
      <c r="A14" t="s">
        <v>130</v>
      </c>
    </row>
    <row r="15" spans="1:6" x14ac:dyDescent="0.2">
      <c r="A15" t="s">
        <v>131</v>
      </c>
    </row>
    <row r="16" spans="1:6" x14ac:dyDescent="0.2">
      <c r="A16" t="s">
        <v>132</v>
      </c>
      <c r="B16">
        <v>24221</v>
      </c>
      <c r="C16">
        <v>24906</v>
      </c>
      <c r="D16">
        <v>27326</v>
      </c>
      <c r="E16">
        <v>29932</v>
      </c>
      <c r="F16">
        <v>31316</v>
      </c>
    </row>
    <row r="17" spans="1:6" x14ac:dyDescent="0.2">
      <c r="A17" t="s">
        <v>133</v>
      </c>
      <c r="B17">
        <v>-11835</v>
      </c>
      <c r="C17">
        <v>-12367</v>
      </c>
      <c r="D17">
        <v>-12931</v>
      </c>
      <c r="E17">
        <v>-13471</v>
      </c>
      <c r="F17">
        <v>-14241</v>
      </c>
    </row>
    <row r="18" spans="1:6" x14ac:dyDescent="0.2">
      <c r="A18" t="s">
        <v>134</v>
      </c>
      <c r="B18">
        <v>12386</v>
      </c>
      <c r="C18">
        <v>12539</v>
      </c>
      <c r="D18">
        <v>14395</v>
      </c>
      <c r="E18">
        <v>16461</v>
      </c>
      <c r="F18">
        <v>17075</v>
      </c>
    </row>
    <row r="19" spans="1:6" x14ac:dyDescent="0.2">
      <c r="A19" t="s">
        <v>135</v>
      </c>
      <c r="B19">
        <v>105</v>
      </c>
      <c r="C19">
        <v>164</v>
      </c>
      <c r="D19">
        <v>133</v>
      </c>
      <c r="E19">
        <v>272</v>
      </c>
      <c r="F19">
        <v>272</v>
      </c>
    </row>
    <row r="20" spans="1:6" x14ac:dyDescent="0.2">
      <c r="A20" t="s">
        <v>18</v>
      </c>
      <c r="B20">
        <v>2269</v>
      </c>
      <c r="C20">
        <v>2614</v>
      </c>
      <c r="D20">
        <v>7080</v>
      </c>
      <c r="E20">
        <v>6942</v>
      </c>
      <c r="F20">
        <v>6956</v>
      </c>
    </row>
    <row r="21" spans="1:6" x14ac:dyDescent="0.2">
      <c r="A21" t="s">
        <v>136</v>
      </c>
      <c r="B21">
        <v>465</v>
      </c>
      <c r="C21">
        <v>805</v>
      </c>
      <c r="D21">
        <v>4368</v>
      </c>
      <c r="E21">
        <v>4016</v>
      </c>
      <c r="F21">
        <v>3596</v>
      </c>
    </row>
    <row r="22" spans="1:6" x14ac:dyDescent="0.2">
      <c r="A22" t="s">
        <v>126</v>
      </c>
      <c r="B22">
        <v>2714</v>
      </c>
      <c r="C22">
        <v>2493</v>
      </c>
      <c r="D22">
        <v>2157</v>
      </c>
      <c r="E22">
        <v>2011</v>
      </c>
      <c r="F22">
        <v>594</v>
      </c>
    </row>
    <row r="23" spans="1:6" x14ac:dyDescent="0.2">
      <c r="A23" t="s">
        <v>137</v>
      </c>
      <c r="B23">
        <v>14882</v>
      </c>
      <c r="C23">
        <v>13595</v>
      </c>
      <c r="D23">
        <v>15185</v>
      </c>
      <c r="E23">
        <v>17130</v>
      </c>
      <c r="F23">
        <v>18068</v>
      </c>
    </row>
    <row r="24" spans="1:6" x14ac:dyDescent="0.2">
      <c r="A24" t="s">
        <v>138</v>
      </c>
      <c r="B24">
        <v>32821</v>
      </c>
      <c r="C24">
        <v>32210</v>
      </c>
      <c r="D24">
        <v>43318</v>
      </c>
      <c r="E24">
        <v>46832</v>
      </c>
      <c r="F24">
        <v>46561</v>
      </c>
    </row>
    <row r="25" spans="1:6" x14ac:dyDescent="0.2">
      <c r="A25" t="s">
        <v>19</v>
      </c>
      <c r="B25">
        <v>60038</v>
      </c>
      <c r="C25">
        <v>64020</v>
      </c>
      <c r="D25">
        <v>81218</v>
      </c>
      <c r="E25">
        <v>88970</v>
      </c>
      <c r="F25">
        <v>84896</v>
      </c>
    </row>
    <row r="26" spans="1:6" x14ac:dyDescent="0.2">
      <c r="A26" t="s">
        <v>20</v>
      </c>
    </row>
    <row r="27" spans="1:6" x14ac:dyDescent="0.2">
      <c r="A27" t="s">
        <v>21</v>
      </c>
    </row>
    <row r="28" spans="1:6" x14ac:dyDescent="0.2">
      <c r="A28" t="s">
        <v>139</v>
      </c>
    </row>
    <row r="29" spans="1:6" x14ac:dyDescent="0.2">
      <c r="A29" t="s">
        <v>140</v>
      </c>
      <c r="B29">
        <v>9784</v>
      </c>
      <c r="C29">
        <v>7981</v>
      </c>
      <c r="D29">
        <v>9648</v>
      </c>
      <c r="E29">
        <v>12391</v>
      </c>
      <c r="F29">
        <v>11031</v>
      </c>
    </row>
    <row r="30" spans="1:6" x14ac:dyDescent="0.2">
      <c r="A30" t="s">
        <v>141</v>
      </c>
      <c r="B30">
        <v>2993</v>
      </c>
      <c r="C30">
        <v>5856</v>
      </c>
      <c r="D30">
        <v>8161</v>
      </c>
      <c r="E30">
        <v>6753</v>
      </c>
      <c r="F30">
        <v>6560</v>
      </c>
    </row>
    <row r="31" spans="1:6" x14ac:dyDescent="0.2">
      <c r="A31" t="s">
        <v>22</v>
      </c>
      <c r="B31">
        <v>3438</v>
      </c>
      <c r="C31">
        <v>4550</v>
      </c>
      <c r="D31">
        <v>5796</v>
      </c>
      <c r="E31">
        <v>5578</v>
      </c>
      <c r="F31">
        <v>5115</v>
      </c>
    </row>
    <row r="32" spans="1:6" x14ac:dyDescent="0.2">
      <c r="A32" t="s">
        <v>142</v>
      </c>
      <c r="C32">
        <v>1831</v>
      </c>
      <c r="D32">
        <v>2487</v>
      </c>
      <c r="E32">
        <v>2638</v>
      </c>
      <c r="F32">
        <v>2360</v>
      </c>
    </row>
    <row r="33" spans="1:6" x14ac:dyDescent="0.2">
      <c r="A33" t="s">
        <v>143</v>
      </c>
      <c r="B33">
        <v>2760</v>
      </c>
      <c r="C33">
        <v>1802</v>
      </c>
      <c r="D33">
        <v>2265</v>
      </c>
      <c r="E33">
        <v>2055</v>
      </c>
      <c r="F33">
        <v>2231</v>
      </c>
    </row>
    <row r="34" spans="1:6" x14ac:dyDescent="0.2">
      <c r="A34" t="s">
        <v>144</v>
      </c>
      <c r="B34">
        <v>18975</v>
      </c>
      <c r="C34">
        <v>22020</v>
      </c>
      <c r="D34">
        <v>28357</v>
      </c>
      <c r="E34">
        <v>29415</v>
      </c>
      <c r="F34">
        <v>27297</v>
      </c>
    </row>
    <row r="35" spans="1:6" x14ac:dyDescent="0.2">
      <c r="A35" t="s">
        <v>145</v>
      </c>
    </row>
    <row r="36" spans="1:6" x14ac:dyDescent="0.2">
      <c r="A36" t="s">
        <v>23</v>
      </c>
      <c r="B36">
        <v>21847</v>
      </c>
      <c r="C36">
        <v>20437</v>
      </c>
      <c r="D36">
        <v>24944</v>
      </c>
      <c r="E36">
        <v>27752</v>
      </c>
      <c r="F36">
        <v>26719</v>
      </c>
    </row>
    <row r="37" spans="1:6" x14ac:dyDescent="0.2">
      <c r="A37" t="s">
        <v>146</v>
      </c>
      <c r="B37">
        <v>7420</v>
      </c>
      <c r="C37">
        <v>7584</v>
      </c>
      <c r="D37">
        <v>10956</v>
      </c>
      <c r="E37">
        <v>11085</v>
      </c>
      <c r="F37">
        <v>6973</v>
      </c>
    </row>
    <row r="38" spans="1:6" x14ac:dyDescent="0.2">
      <c r="A38" t="s">
        <v>147</v>
      </c>
      <c r="B38">
        <v>83</v>
      </c>
      <c r="C38">
        <v>40</v>
      </c>
      <c r="D38">
        <v>46</v>
      </c>
      <c r="E38">
        <v>50</v>
      </c>
      <c r="F38">
        <v>67</v>
      </c>
    </row>
    <row r="39" spans="1:6" x14ac:dyDescent="0.2">
      <c r="A39" t="s">
        <v>148</v>
      </c>
      <c r="B39">
        <v>2973</v>
      </c>
      <c r="C39">
        <v>3115</v>
      </c>
      <c r="D39">
        <v>4032</v>
      </c>
      <c r="E39">
        <v>3136</v>
      </c>
      <c r="F39">
        <v>3029</v>
      </c>
    </row>
    <row r="40" spans="1:6" x14ac:dyDescent="0.2">
      <c r="A40" t="s">
        <v>149</v>
      </c>
      <c r="B40">
        <v>32323</v>
      </c>
      <c r="C40">
        <v>31176</v>
      </c>
      <c r="D40">
        <v>39978</v>
      </c>
      <c r="E40">
        <v>42023</v>
      </c>
      <c r="F40">
        <v>36788</v>
      </c>
    </row>
    <row r="41" spans="1:6" x14ac:dyDescent="0.2">
      <c r="A41" t="s">
        <v>24</v>
      </c>
      <c r="B41">
        <v>51298</v>
      </c>
      <c r="C41">
        <v>53196</v>
      </c>
      <c r="D41">
        <v>68335</v>
      </c>
      <c r="E41">
        <v>71438</v>
      </c>
      <c r="F41">
        <v>64085</v>
      </c>
    </row>
    <row r="42" spans="1:6" x14ac:dyDescent="0.2">
      <c r="A42" t="s">
        <v>25</v>
      </c>
    </row>
    <row r="43" spans="1:6" x14ac:dyDescent="0.2">
      <c r="A43" t="s">
        <v>52</v>
      </c>
      <c r="B43">
        <v>3439</v>
      </c>
      <c r="C43">
        <v>3888</v>
      </c>
      <c r="D43">
        <v>4273</v>
      </c>
      <c r="E43">
        <v>4481</v>
      </c>
      <c r="F43">
        <v>4709</v>
      </c>
    </row>
    <row r="44" spans="1:6" x14ac:dyDescent="0.2">
      <c r="A44" t="s">
        <v>26</v>
      </c>
      <c r="B44">
        <v>19711</v>
      </c>
      <c r="C44">
        <v>21384</v>
      </c>
      <c r="D44">
        <v>25219</v>
      </c>
      <c r="E44">
        <v>29558</v>
      </c>
      <c r="F44">
        <v>31854</v>
      </c>
    </row>
    <row r="45" spans="1:6" x14ac:dyDescent="0.2">
      <c r="A45" t="s">
        <v>53</v>
      </c>
      <c r="B45">
        <v>-10646</v>
      </c>
      <c r="C45">
        <v>-10397</v>
      </c>
      <c r="D45">
        <v>-10281</v>
      </c>
      <c r="E45">
        <v>-10074</v>
      </c>
      <c r="F45">
        <v>-11854</v>
      </c>
    </row>
    <row r="46" spans="1:6" x14ac:dyDescent="0.2">
      <c r="A46" t="s">
        <v>27</v>
      </c>
      <c r="B46">
        <v>-3764</v>
      </c>
      <c r="C46">
        <v>-4051</v>
      </c>
      <c r="D46">
        <v>-6328</v>
      </c>
      <c r="E46">
        <v>-6433</v>
      </c>
      <c r="F46">
        <v>-3898</v>
      </c>
    </row>
    <row r="47" spans="1:6" x14ac:dyDescent="0.2">
      <c r="A47" t="s">
        <v>28</v>
      </c>
      <c r="B47">
        <v>8740</v>
      </c>
      <c r="C47">
        <v>10824</v>
      </c>
      <c r="D47">
        <v>12883</v>
      </c>
      <c r="E47">
        <v>17532</v>
      </c>
      <c r="F47">
        <v>20811</v>
      </c>
    </row>
    <row r="48" spans="1:6" x14ac:dyDescent="0.2">
      <c r="A48" t="s">
        <v>29</v>
      </c>
      <c r="B48">
        <v>60038</v>
      </c>
      <c r="C48">
        <v>64020</v>
      </c>
      <c r="D48">
        <v>81218</v>
      </c>
      <c r="E48">
        <v>88970</v>
      </c>
      <c r="F48">
        <v>84896</v>
      </c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6"/>
  <sheetViews>
    <sheetView workbookViewId="0">
      <selection activeCell="K32" sqref="K32"/>
    </sheetView>
  </sheetViews>
  <sheetFormatPr defaultRowHeight="12.75" x14ac:dyDescent="0.2"/>
  <cols>
    <col min="1" max="1" width="60.42578125" bestFit="1" customWidth="1"/>
  </cols>
  <sheetData>
    <row r="1" spans="1:6" x14ac:dyDescent="0.2">
      <c r="A1" t="s">
        <v>150</v>
      </c>
    </row>
    <row r="2" spans="1:6" x14ac:dyDescent="0.2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">
      <c r="A3" t="s">
        <v>30</v>
      </c>
    </row>
    <row r="4" spans="1:6" x14ac:dyDescent="0.2">
      <c r="A4" t="s">
        <v>9</v>
      </c>
      <c r="B4">
        <v>827</v>
      </c>
      <c r="C4">
        <v>2758</v>
      </c>
      <c r="D4">
        <v>4981</v>
      </c>
      <c r="E4">
        <v>5722</v>
      </c>
      <c r="F4">
        <v>3803</v>
      </c>
    </row>
    <row r="5" spans="1:6" x14ac:dyDescent="0.2">
      <c r="A5" t="s">
        <v>31</v>
      </c>
      <c r="B5">
        <v>2336</v>
      </c>
      <c r="C5">
        <v>2296</v>
      </c>
      <c r="D5">
        <v>2527</v>
      </c>
      <c r="E5">
        <v>2813</v>
      </c>
      <c r="F5">
        <v>3087</v>
      </c>
    </row>
    <row r="6" spans="1:6" x14ac:dyDescent="0.2">
      <c r="A6" t="s">
        <v>151</v>
      </c>
      <c r="E6">
        <v>580</v>
      </c>
    </row>
    <row r="7" spans="1:6" x14ac:dyDescent="0.2">
      <c r="A7" t="s">
        <v>152</v>
      </c>
      <c r="B7">
        <v>4014</v>
      </c>
    </row>
    <row r="8" spans="1:6" x14ac:dyDescent="0.2">
      <c r="A8" t="s">
        <v>153</v>
      </c>
      <c r="B8">
        <v>2501</v>
      </c>
      <c r="C8">
        <v>-2667</v>
      </c>
      <c r="D8">
        <v>-2927</v>
      </c>
      <c r="E8">
        <v>-1149</v>
      </c>
      <c r="F8">
        <v>2658</v>
      </c>
    </row>
    <row r="9" spans="1:6" x14ac:dyDescent="0.2">
      <c r="A9" t="s">
        <v>141</v>
      </c>
      <c r="B9">
        <v>-1878</v>
      </c>
      <c r="C9">
        <v>2570</v>
      </c>
      <c r="D9">
        <v>1555</v>
      </c>
      <c r="E9">
        <v>-1868</v>
      </c>
      <c r="F9">
        <v>134</v>
      </c>
    </row>
    <row r="10" spans="1:6" x14ac:dyDescent="0.2">
      <c r="A10" t="s">
        <v>22</v>
      </c>
      <c r="B10">
        <v>-1039</v>
      </c>
      <c r="C10">
        <v>117</v>
      </c>
      <c r="D10">
        <v>255</v>
      </c>
      <c r="E10">
        <v>126</v>
      </c>
      <c r="F10">
        <v>-108</v>
      </c>
    </row>
    <row r="11" spans="1:6" x14ac:dyDescent="0.2">
      <c r="A11" t="s">
        <v>154</v>
      </c>
      <c r="B11">
        <v>-399</v>
      </c>
      <c r="C11">
        <v>-534</v>
      </c>
      <c r="D11">
        <v>109</v>
      </c>
      <c r="E11">
        <v>-849</v>
      </c>
      <c r="F11">
        <v>135</v>
      </c>
    </row>
    <row r="12" spans="1:6" x14ac:dyDescent="0.2">
      <c r="A12" t="s">
        <v>155</v>
      </c>
      <c r="B12">
        <v>137</v>
      </c>
      <c r="C12">
        <v>469</v>
      </c>
      <c r="D12">
        <v>457</v>
      </c>
      <c r="E12">
        <v>-191</v>
      </c>
      <c r="F12">
        <v>482</v>
      </c>
    </row>
    <row r="13" spans="1:6" x14ac:dyDescent="0.2">
      <c r="A13" t="s">
        <v>32</v>
      </c>
      <c r="B13">
        <v>6499</v>
      </c>
      <c r="C13">
        <v>5009</v>
      </c>
      <c r="D13">
        <v>6957</v>
      </c>
      <c r="E13">
        <v>5184</v>
      </c>
      <c r="F13">
        <v>10191</v>
      </c>
    </row>
    <row r="14" spans="1:6" x14ac:dyDescent="0.2">
      <c r="A14" t="s">
        <v>33</v>
      </c>
    </row>
    <row r="15" spans="1:6" x14ac:dyDescent="0.2">
      <c r="A15" t="s">
        <v>156</v>
      </c>
      <c r="B15">
        <v>-968</v>
      </c>
      <c r="C15">
        <v>-1011</v>
      </c>
      <c r="D15">
        <v>-1409</v>
      </c>
      <c r="E15">
        <v>-1726</v>
      </c>
      <c r="F15">
        <v>-1924</v>
      </c>
    </row>
    <row r="16" spans="1:6" x14ac:dyDescent="0.2">
      <c r="A16" t="s">
        <v>157</v>
      </c>
      <c r="B16">
        <v>1242</v>
      </c>
      <c r="C16">
        <v>1469</v>
      </c>
      <c r="D16">
        <v>1354</v>
      </c>
      <c r="E16">
        <v>1117</v>
      </c>
      <c r="F16">
        <v>844</v>
      </c>
    </row>
    <row r="17" spans="1:6" x14ac:dyDescent="0.2">
      <c r="A17" t="s">
        <v>158</v>
      </c>
      <c r="B17">
        <v>-19</v>
      </c>
      <c r="C17">
        <v>-1126</v>
      </c>
      <c r="D17">
        <v>-7808</v>
      </c>
      <c r="E17">
        <v>581</v>
      </c>
      <c r="F17">
        <v>170</v>
      </c>
    </row>
    <row r="18" spans="1:6" x14ac:dyDescent="0.2">
      <c r="A18" t="s">
        <v>34</v>
      </c>
      <c r="B18">
        <v>-349</v>
      </c>
      <c r="C18">
        <v>-8715</v>
      </c>
      <c r="D18">
        <v>-336</v>
      </c>
      <c r="E18">
        <v>-402</v>
      </c>
      <c r="F18">
        <v>-402</v>
      </c>
    </row>
    <row r="19" spans="1:6" x14ac:dyDescent="0.2">
      <c r="A19" t="s">
        <v>159</v>
      </c>
      <c r="B19">
        <v>291</v>
      </c>
      <c r="C19">
        <v>9231</v>
      </c>
      <c r="D19">
        <v>247</v>
      </c>
      <c r="E19">
        <v>306</v>
      </c>
      <c r="F19">
        <v>449</v>
      </c>
    </row>
    <row r="20" spans="1:6" x14ac:dyDescent="0.2">
      <c r="A20" t="s">
        <v>35</v>
      </c>
      <c r="B20">
        <v>649</v>
      </c>
      <c r="C20">
        <v>-1443</v>
      </c>
      <c r="D20">
        <v>-3475</v>
      </c>
      <c r="E20">
        <v>-6066</v>
      </c>
      <c r="F20">
        <v>-4183</v>
      </c>
    </row>
    <row r="21" spans="1:6" x14ac:dyDescent="0.2">
      <c r="A21" t="s">
        <v>36</v>
      </c>
      <c r="B21">
        <v>846</v>
      </c>
      <c r="C21">
        <v>-1595</v>
      </c>
      <c r="D21">
        <v>-11427</v>
      </c>
      <c r="E21">
        <v>-6190</v>
      </c>
      <c r="F21">
        <v>-5046</v>
      </c>
    </row>
    <row r="22" spans="1:6" x14ac:dyDescent="0.2">
      <c r="A22" t="s">
        <v>37</v>
      </c>
    </row>
    <row r="23" spans="1:6" x14ac:dyDescent="0.2">
      <c r="A23" t="s">
        <v>160</v>
      </c>
      <c r="B23">
        <v>12291</v>
      </c>
      <c r="C23">
        <v>8324</v>
      </c>
      <c r="D23">
        <v>15460</v>
      </c>
      <c r="E23">
        <v>16015</v>
      </c>
      <c r="F23">
        <v>9328</v>
      </c>
    </row>
    <row r="24" spans="1:6" x14ac:dyDescent="0.2">
      <c r="A24" t="s">
        <v>161</v>
      </c>
      <c r="B24">
        <v>-16571</v>
      </c>
      <c r="C24">
        <v>-12461</v>
      </c>
      <c r="D24">
        <v>-10546</v>
      </c>
      <c r="E24">
        <v>-11047</v>
      </c>
      <c r="F24">
        <v>-10870</v>
      </c>
    </row>
    <row r="25" spans="1:6" x14ac:dyDescent="0.2">
      <c r="A25" t="s">
        <v>38</v>
      </c>
      <c r="B25">
        <v>89</v>
      </c>
      <c r="C25">
        <v>296</v>
      </c>
      <c r="D25">
        <v>123</v>
      </c>
      <c r="E25">
        <v>52</v>
      </c>
      <c r="F25">
        <v>128</v>
      </c>
    </row>
    <row r="26" spans="1:6" x14ac:dyDescent="0.2">
      <c r="A26" t="s">
        <v>162</v>
      </c>
      <c r="B26">
        <v>-6</v>
      </c>
      <c r="F26">
        <v>-2000</v>
      </c>
    </row>
    <row r="27" spans="1:6" x14ac:dyDescent="0.2">
      <c r="A27" t="s">
        <v>163</v>
      </c>
      <c r="B27">
        <v>-1039</v>
      </c>
      <c r="C27">
        <v>-1084</v>
      </c>
      <c r="D27">
        <v>-1162</v>
      </c>
      <c r="E27">
        <v>-1623</v>
      </c>
      <c r="F27">
        <v>-1124</v>
      </c>
    </row>
    <row r="28" spans="1:6" x14ac:dyDescent="0.2">
      <c r="A28" t="s">
        <v>39</v>
      </c>
      <c r="B28">
        <v>21</v>
      </c>
      <c r="C28">
        <v>312</v>
      </c>
      <c r="D28">
        <v>144</v>
      </c>
      <c r="E28">
        <v>209</v>
      </c>
      <c r="F28">
        <v>27</v>
      </c>
    </row>
    <row r="29" spans="1:6" x14ac:dyDescent="0.2">
      <c r="A29" t="s">
        <v>40</v>
      </c>
      <c r="B29">
        <v>-5215</v>
      </c>
      <c r="C29">
        <v>-4613</v>
      </c>
      <c r="D29">
        <v>4019</v>
      </c>
      <c r="E29">
        <v>3606</v>
      </c>
      <c r="F29">
        <v>-4511</v>
      </c>
    </row>
    <row r="30" spans="1:6" x14ac:dyDescent="0.2">
      <c r="A30" t="s">
        <v>164</v>
      </c>
      <c r="B30">
        <v>1</v>
      </c>
      <c r="C30">
        <v>-76</v>
      </c>
      <c r="D30">
        <v>-84</v>
      </c>
      <c r="E30">
        <v>-167</v>
      </c>
      <c r="F30">
        <v>-43</v>
      </c>
    </row>
    <row r="31" spans="1:6" x14ac:dyDescent="0.2">
      <c r="A31" t="s">
        <v>41</v>
      </c>
      <c r="B31">
        <v>2131</v>
      </c>
      <c r="C31">
        <v>-1275</v>
      </c>
      <c r="D31">
        <v>-535</v>
      </c>
      <c r="E31">
        <v>2433</v>
      </c>
      <c r="F31">
        <v>591</v>
      </c>
    </row>
    <row r="32" spans="1:6" x14ac:dyDescent="0.2">
      <c r="A32" t="s">
        <v>42</v>
      </c>
      <c r="B32">
        <v>2736</v>
      </c>
      <c r="C32">
        <v>4867</v>
      </c>
      <c r="D32">
        <v>3592</v>
      </c>
      <c r="E32">
        <v>3057</v>
      </c>
      <c r="F32">
        <v>5490</v>
      </c>
    </row>
    <row r="33" spans="1:6" x14ac:dyDescent="0.2">
      <c r="A33" t="s">
        <v>43</v>
      </c>
      <c r="B33">
        <v>4867</v>
      </c>
      <c r="C33">
        <v>3592</v>
      </c>
      <c r="D33">
        <v>3057</v>
      </c>
      <c r="E33">
        <v>5490</v>
      </c>
      <c r="F33">
        <v>6081</v>
      </c>
    </row>
    <row r="34" spans="1:6" x14ac:dyDescent="0.2">
      <c r="A34" t="s">
        <v>165</v>
      </c>
      <c r="B34">
        <v>6499</v>
      </c>
      <c r="C34">
        <v>5009</v>
      </c>
      <c r="D34">
        <v>6957</v>
      </c>
      <c r="E34">
        <v>5184</v>
      </c>
      <c r="F34">
        <v>10191</v>
      </c>
    </row>
    <row r="35" spans="1:6" x14ac:dyDescent="0.2">
      <c r="A35" t="s">
        <v>166</v>
      </c>
      <c r="B35">
        <v>-2472</v>
      </c>
      <c r="C35">
        <v>-2586</v>
      </c>
      <c r="D35">
        <v>-3924</v>
      </c>
      <c r="E35">
        <v>-5076</v>
      </c>
      <c r="F35">
        <v>-4446</v>
      </c>
    </row>
    <row r="36" spans="1:6" x14ac:dyDescent="0.2">
      <c r="A36" t="s">
        <v>167</v>
      </c>
      <c r="B36">
        <v>4027</v>
      </c>
      <c r="C36">
        <v>2423</v>
      </c>
      <c r="D36">
        <v>3033</v>
      </c>
      <c r="E36">
        <v>108</v>
      </c>
      <c r="F36">
        <v>5745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Ratio Analysis</vt:lpstr>
      <vt:lpstr>Financials</vt:lpstr>
      <vt:lpstr>Charts</vt:lpstr>
      <vt:lpstr>Income Statement</vt:lpstr>
      <vt:lpstr>Balance Sheet</vt:lpstr>
      <vt:lpstr>Cash Flow Statement</vt:lpstr>
    </vt:vector>
  </TitlesOfParts>
  <Company>AAII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</dc:creator>
  <cp:lastModifiedBy>Jaclyn McClellan</cp:lastModifiedBy>
  <cp:lastPrinted>2014-07-09T20:47:54Z</cp:lastPrinted>
  <dcterms:created xsi:type="dcterms:W3CDTF">2014-07-07T16:36:06Z</dcterms:created>
  <dcterms:modified xsi:type="dcterms:W3CDTF">2014-07-22T17:10:10Z</dcterms:modified>
</cp:coreProperties>
</file>